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13_ncr:1_{2F09FD92-78AE-4EC3-9C18-1CBE4008F508}" xr6:coauthVersionLast="47" xr6:coauthVersionMax="47" xr10:uidLastSave="{00000000-0000-0000-0000-000000000000}"/>
  <bookViews>
    <workbookView xWindow="-120" yWindow="-120" windowWidth="20730" windowHeight="11040" xr2:uid="{8E17233B-4DF1-4332-9E04-5AC21BDF70DC}"/>
  </bookViews>
  <sheets>
    <sheet name="Score Summary" sheetId="5" r:id="rId1"/>
    <sheet name="Stmt of Cash Flows" sheetId="2" r:id="rId2"/>
    <sheet name="Reconcilation worksheet" sheetId="4" r:id="rId3"/>
    <sheet name="Data" sheetId="6" r:id="rId4"/>
    <sheet name="Information" sheetId="1" state="hidden" r:id="rId5"/>
    <sheet name="lists" sheetId="3" state="hidden" r:id="rId6"/>
  </sheets>
  <definedNames>
    <definedName name="Cost_of_Goods_Sold">'Stmt of Cash Flows'!$B$25</definedName>
    <definedName name="Data_Additional_Information">'Stmt of Cash Flows'!$A$38:$B$50</definedName>
    <definedName name="Data_Balance_Sheets">'Stmt of Cash Flows'!$A$8:$E$21</definedName>
    <definedName name="Data_Income_Statement">'Stmt of Cash Flows'!$A$23:$B$36</definedName>
    <definedName name="Depreciation_Expense">'Stmt of Cash Flows'!$B$27</definedName>
    <definedName name="Gross_Margin">'Stmt of Cash Flows'!$B$26</definedName>
    <definedName name="Income_before_Income_Taxes">'Stmt of Cash Flows'!$B$34</definedName>
    <definedName name="Income_from_Operations">'Stmt of Cash Flows'!$B$29</definedName>
    <definedName name="Income_Taxes_Expense">'Stmt of Cash Flows'!$B$35</definedName>
    <definedName name="Loss_on_sale_of_Equipment">'Stmt of Cash Flows'!$B$33</definedName>
    <definedName name="N_A">'Stmt of Cash Flows'!$B$24:$B$29</definedName>
    <definedName name="Net_Income">'Stmt of Cash Flows'!$B$36</definedName>
    <definedName name="Other_Income__Expenses">'Stmt of Cash Flows'!$B$24:$B$29</definedName>
    <definedName name="Other_Operating_Expenses">'Stmt of Cash Flows'!$B$28</definedName>
    <definedName name="ReconWorksheet_Section_A">'Reconcilation worksheet'!$B$30:$F$32</definedName>
    <definedName name="ReconWorksheet_Section_B">'Reconcilation worksheet'!$B$33:$F$35</definedName>
    <definedName name="ReconWorksheet_Section_C">'Reconcilation worksheet'!$B$36:$F$44</definedName>
    <definedName name="ReconWorksheet_Section_D">'Reconcilation worksheet'!$B$45:$F$53</definedName>
    <definedName name="RowTitle_SCF..C109">'Stmt of Cash Flows'!$A$66:$A$109</definedName>
    <definedName name="Sales">'Stmt of Cash Flows'!$B$24</definedName>
    <definedName name="SCF_heading">'Stmt of Cash Flows'!$A$62:$C$64</definedName>
    <definedName name="SCF_section1">'Stmt of Cash Flows'!$A$66:$C$73</definedName>
    <definedName name="SCF_Section1_Total_Amount">'Stmt of Cash Flows'!$C$73</definedName>
    <definedName name="SCF_Section1_Total_Line">'Stmt of Cash Flows'!$A$73:$C$73</definedName>
    <definedName name="SCF_Section2">'Stmt of Cash Flows'!$A$74:$C$81</definedName>
    <definedName name="SCF_Section2_Total_Amount">'Stmt of Cash Flows'!$C$81</definedName>
    <definedName name="SCF_Section2_Total_Line">'Stmt of Cash Flows'!$A$81:$C$81</definedName>
    <definedName name="SCF_Section3">'Stmt of Cash Flows'!$A$82:$C$89</definedName>
    <definedName name="SCF_Section3_Total_Amount">'Stmt of Cash Flows'!$C$89</definedName>
    <definedName name="SCF_Section3_Total_Line">'Stmt of Cash Flows'!$A$89:$C$89</definedName>
    <definedName name="SCF_Section4">'Stmt of Cash Flows'!$A$90:$C$92</definedName>
    <definedName name="SCF_Section4_Total_Amount">'Stmt of Cash Flows'!$C$92</definedName>
    <definedName name="SCF_Section4_Total_Line">'Stmt of Cash Flows'!$A$92:$C$92</definedName>
    <definedName name="SCF_Section5">'Stmt of Cash Flows'!$A$94:$C$96</definedName>
    <definedName name="SCF_Section6_Reconciliation">'Stmt of Cash Flows'!$A$97:$C$109</definedName>
    <definedName name="SCF_Section6_Total_Amount">'Stmt of Cash Flows'!$C$109</definedName>
    <definedName name="SCF_Section6_Total_Line">'Stmt of Cash Flows'!$A$109:$C$109</definedName>
    <definedName name="TitleRegion_Recon_Section_C..F44">'Reconcilation worksheet'!$B$37</definedName>
    <definedName name="TitleRegion_Recon_Section_D..F53">'Reconcilation worksheet'!$B$46</definedName>
    <definedName name="TitleRegion_Score_Summary..E12">'Score Summary'!$A$6</definedName>
    <definedName name="Year1_Accounts_Payable">'Stmt of Cash Flows'!$E$16</definedName>
    <definedName name="Year1_Accounts_Receivable">'Stmt of Cash Flows'!$E$10</definedName>
    <definedName name="Year1_Accum._Depr.">'Stmt of Cash Flows'!$E$15</definedName>
    <definedName name="Year1_Cash">'Stmt of Cash Flows'!$E$9</definedName>
    <definedName name="Year1_Common_Stock">'Stmt of Cash Flows'!$E$20</definedName>
    <definedName name="Year1_Equipment">'Stmt of Cash Flows'!$E$14</definedName>
    <definedName name="Year1_Long_term_Note_Payable">'Stmt of Cash Flows'!$E$19</definedName>
    <definedName name="Year1_Merchandise_Inventory">'Stmt of Cash Flows'!$E$11</definedName>
    <definedName name="Year1_Retained_Earnings">'Stmt of Cash Flows'!$E$21</definedName>
    <definedName name="Year1_Short_Term_Note_Payable">'Stmt of Cash Flows'!$E$18</definedName>
    <definedName name="Year1_space_holder1">'Stmt of Cash Flows'!$E$12</definedName>
    <definedName name="Year1_space_holder2">'Stmt of Cash Flows'!$E$13</definedName>
    <definedName name="Year1_Wages_Payable">'Stmt of Cash Flows'!$E$17</definedName>
    <definedName name="Year2_Accounts_Payable">'Stmt of Cash Flows'!$B$16</definedName>
    <definedName name="Year2_Accounts_Receivable">'Stmt of Cash Flows'!$B$10</definedName>
    <definedName name="Year2_Accum._Depr.">'Stmt of Cash Flows'!$B$15</definedName>
    <definedName name="Year2_Cash">'Stmt of Cash Flows'!$B$9</definedName>
    <definedName name="Year2_Common_Stock">'Stmt of Cash Flows'!$B$20</definedName>
    <definedName name="Year2_Equipment">'Stmt of Cash Flows'!$B$14</definedName>
    <definedName name="Year2_Long_term_Note_Payable">'Stmt of Cash Flows'!$B$19</definedName>
    <definedName name="Year2_Merchandise_Inventory">'Stmt of Cash Flows'!$B$11</definedName>
    <definedName name="Year2_Retained_Earnings">'Stmt of Cash Flows'!$B$21</definedName>
    <definedName name="Year2_Short_Term_Note_Payable">'Stmt of Cash Flows'!$B$18</definedName>
    <definedName name="Year2_space_holder1">'Stmt of Cash Flows'!$B$12</definedName>
    <definedName name="Year2_space_holder2">'Stmt of Cash Flows'!$B$13</definedName>
    <definedName name="Year2_Wages_Payable">'Stmt of Cash Flows'!$B$17</definedName>
    <definedName name="z_A._Cash_paid_for_other_operating_expenses">'Stmt of Cash Flows'!$B$39</definedName>
    <definedName name="z_B._Cash_received_from_borrowing_on_short_term_note_payable">'Stmt of Cash Flows'!$B$40</definedName>
    <definedName name="z_C._Acquired_equipment_by_signing_long_term_note_payable">'Stmt of Cash Flows'!$B$41</definedName>
    <definedName name="z_D._Cash_dividends_paid">'Stmt of Cash Flows'!$B$42</definedName>
    <definedName name="z_E._Cash_received_from_sale_of_Fox_Corp_s_common_stock">'Stmt of Cash Flows'!$B$43</definedName>
    <definedName name="z_F._Cash_paid_for_equipment">'Stmt of Cash Flows'!$B$44</definedName>
    <definedName name="z_G._Cash_paid_for_merchandise_inventory">'Stmt of Cash Flows'!$B$45</definedName>
    <definedName name="z_H._Cash_received_from_customers">'Stmt of Cash Flows'!$B$46</definedName>
    <definedName name="z_I._Cash_received_from_sale_of_equipment">'Stmt of Cash Flows'!$B$47</definedName>
    <definedName name="z_J._Cash_paid_for_income_taxes">'Stmt of Cash Flows'!$B$48</definedName>
    <definedName name="z_K._Space_holder5">'Stmt of Cash Flows'!$B$49</definedName>
    <definedName name="z_L._Space_holder6">'Stmt of Cash Flows'!$B$50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09" i="2" l="1"/>
  <c r="C104" i="2"/>
  <c r="C103" i="2"/>
  <c r="C102" i="2"/>
  <c r="C101" i="2"/>
  <c r="C100" i="2"/>
  <c r="E48" i="4"/>
  <c r="D48" i="4"/>
  <c r="C48" i="4"/>
  <c r="E47" i="4"/>
  <c r="D47" i="4"/>
  <c r="C47" i="4"/>
  <c r="E39" i="4"/>
  <c r="D39" i="4"/>
  <c r="C39" i="4"/>
  <c r="E38" i="4"/>
  <c r="D38" i="4"/>
  <c r="C38" i="4"/>
  <c r="F34" i="4"/>
  <c r="F31" i="4"/>
  <c r="C99" i="2"/>
  <c r="C98" i="2"/>
  <c r="C95" i="2"/>
  <c r="C92" i="2"/>
  <c r="C91" i="2"/>
  <c r="C90" i="2"/>
  <c r="C89" i="2"/>
  <c r="B85" i="2"/>
  <c r="B84" i="2"/>
  <c r="B83" i="2"/>
  <c r="C81" i="2"/>
  <c r="B76" i="2"/>
  <c r="B75" i="2"/>
  <c r="C73" i="2"/>
  <c r="B70" i="2"/>
  <c r="B69" i="2"/>
  <c r="B68" i="2"/>
  <c r="B67" i="2"/>
  <c r="W48" i="4" l="1"/>
  <c r="Z48" i="4" s="1"/>
  <c r="X48" i="4"/>
  <c r="X47" i="4"/>
  <c r="W47" i="4"/>
  <c r="Z47" i="4" s="1"/>
  <c r="W39" i="4"/>
  <c r="Z39" i="4" s="1"/>
  <c r="X39" i="4"/>
  <c r="X38" i="4"/>
  <c r="W38" i="4"/>
  <c r="Y38" i="4" s="1"/>
  <c r="O101" i="2" s="1"/>
  <c r="Z34" i="4"/>
  <c r="O100" i="2" s="1"/>
  <c r="Z31" i="4"/>
  <c r="O99" i="2" s="1"/>
  <c r="O95" i="2"/>
  <c r="P92" i="2"/>
  <c r="O91" i="2"/>
  <c r="N85" i="2"/>
  <c r="N84" i="2"/>
  <c r="N83" i="2"/>
  <c r="N76" i="2"/>
  <c r="N75" i="2"/>
  <c r="N70" i="2"/>
  <c r="N69" i="2"/>
  <c r="N68" i="2"/>
  <c r="N67" i="2"/>
  <c r="R21" i="3"/>
  <c r="A3" i="1"/>
  <c r="E20" i="1"/>
  <c r="E18" i="1"/>
  <c r="E12" i="1"/>
  <c r="E10" i="1"/>
  <c r="E9" i="1"/>
  <c r="A27" i="1"/>
  <c r="A26" i="1"/>
  <c r="A25" i="1"/>
  <c r="A24" i="1"/>
  <c r="A23" i="1"/>
  <c r="A22" i="1"/>
  <c r="A18" i="1"/>
  <c r="A17" i="1"/>
  <c r="A14" i="1"/>
  <c r="A13" i="1"/>
  <c r="A12" i="1"/>
  <c r="G25" i="1"/>
  <c r="G26" i="1"/>
  <c r="G27" i="1"/>
  <c r="G28" i="1"/>
  <c r="G29" i="1"/>
  <c r="G30" i="1"/>
  <c r="G31" i="1"/>
  <c r="G32" i="1"/>
  <c r="G33" i="1"/>
  <c r="G24" i="1"/>
  <c r="F25" i="1"/>
  <c r="F26" i="1"/>
  <c r="F27" i="1"/>
  <c r="F28" i="1"/>
  <c r="F29" i="1"/>
  <c r="F30" i="1"/>
  <c r="F31" i="1"/>
  <c r="F32" i="1"/>
  <c r="F33" i="1"/>
  <c r="F24" i="1"/>
  <c r="G14" i="1"/>
  <c r="G19" i="1" s="1"/>
  <c r="G21" i="1" s="1"/>
  <c r="O98" i="2" s="1"/>
  <c r="G11" i="1"/>
  <c r="C10" i="1"/>
  <c r="B10" i="1"/>
  <c r="E5" i="1"/>
  <c r="N15" i="3"/>
  <c r="N14" i="3"/>
  <c r="E7" i="1" s="1"/>
  <c r="N13" i="3"/>
  <c r="A5" i="1"/>
  <c r="B9" i="2"/>
  <c r="B10" i="2"/>
  <c r="B11" i="2"/>
  <c r="B12" i="2"/>
  <c r="B13" i="2"/>
  <c r="E97" i="3"/>
  <c r="J29" i="3"/>
  <c r="I29" i="3"/>
  <c r="H29" i="3"/>
  <c r="G29" i="3"/>
  <c r="F29" i="3"/>
  <c r="E29" i="3"/>
  <c r="J28" i="3"/>
  <c r="E133" i="3" s="1"/>
  <c r="I28" i="3"/>
  <c r="E116" i="3" s="1"/>
  <c r="H28" i="3"/>
  <c r="E99" i="3" s="1"/>
  <c r="G28" i="3"/>
  <c r="E82" i="3" s="1"/>
  <c r="F28" i="3"/>
  <c r="E65" i="3" s="1"/>
  <c r="E28" i="3"/>
  <c r="E48" i="3" s="1"/>
  <c r="J27" i="3"/>
  <c r="E132" i="3" s="1"/>
  <c r="I27" i="3"/>
  <c r="E115" i="3" s="1"/>
  <c r="H27" i="3"/>
  <c r="E98" i="3" s="1"/>
  <c r="G27" i="3"/>
  <c r="E81" i="3" s="1"/>
  <c r="F27" i="3"/>
  <c r="E64" i="3" s="1"/>
  <c r="E27" i="3"/>
  <c r="E47" i="3" s="1"/>
  <c r="J26" i="3"/>
  <c r="E131" i="3" s="1"/>
  <c r="I26" i="3"/>
  <c r="E114" i="3" s="1"/>
  <c r="H26" i="3"/>
  <c r="G26" i="3"/>
  <c r="E80" i="3" s="1"/>
  <c r="F26" i="3"/>
  <c r="E63" i="3" s="1"/>
  <c r="E26" i="3"/>
  <c r="E46" i="3" s="1"/>
  <c r="J25" i="3"/>
  <c r="E130" i="3" s="1"/>
  <c r="I25" i="3"/>
  <c r="E113" i="3" s="1"/>
  <c r="H25" i="3"/>
  <c r="E96" i="3" s="1"/>
  <c r="G25" i="3"/>
  <c r="E79" i="3" s="1"/>
  <c r="F25" i="3"/>
  <c r="E62" i="3" s="1"/>
  <c r="E25" i="3"/>
  <c r="E45" i="3" s="1"/>
  <c r="J24" i="3"/>
  <c r="E129" i="3" s="1"/>
  <c r="I24" i="3"/>
  <c r="E112" i="3" s="1"/>
  <c r="H24" i="3"/>
  <c r="E95" i="3" s="1"/>
  <c r="G24" i="3"/>
  <c r="E78" i="3" s="1"/>
  <c r="F24" i="3"/>
  <c r="E61" i="3" s="1"/>
  <c r="E24" i="3"/>
  <c r="E44" i="3" s="1"/>
  <c r="J23" i="3"/>
  <c r="E128" i="3" s="1"/>
  <c r="I23" i="3"/>
  <c r="E111" i="3" s="1"/>
  <c r="H23" i="3"/>
  <c r="E94" i="3" s="1"/>
  <c r="G23" i="3"/>
  <c r="E77" i="3" s="1"/>
  <c r="F23" i="3"/>
  <c r="E60" i="3" s="1"/>
  <c r="E23" i="3"/>
  <c r="E43" i="3" s="1"/>
  <c r="J22" i="3"/>
  <c r="E127" i="3" s="1"/>
  <c r="I22" i="3"/>
  <c r="E110" i="3" s="1"/>
  <c r="H22" i="3"/>
  <c r="E93" i="3" s="1"/>
  <c r="G22" i="3"/>
  <c r="E76" i="3" s="1"/>
  <c r="F22" i="3"/>
  <c r="E59" i="3" s="1"/>
  <c r="E22" i="3"/>
  <c r="E42" i="3" s="1"/>
  <c r="J21" i="3"/>
  <c r="E126" i="3" s="1"/>
  <c r="I21" i="3"/>
  <c r="E109" i="3" s="1"/>
  <c r="H21" i="3"/>
  <c r="E92" i="3" s="1"/>
  <c r="G21" i="3"/>
  <c r="E75" i="3" s="1"/>
  <c r="F21" i="3"/>
  <c r="E58" i="3" s="1"/>
  <c r="E21" i="3"/>
  <c r="E41" i="3" s="1"/>
  <c r="J20" i="3"/>
  <c r="E125" i="3" s="1"/>
  <c r="I20" i="3"/>
  <c r="E108" i="3" s="1"/>
  <c r="H20" i="3"/>
  <c r="E91" i="3" s="1"/>
  <c r="G20" i="3"/>
  <c r="E74" i="3" s="1"/>
  <c r="F20" i="3"/>
  <c r="E57" i="3" s="1"/>
  <c r="E20" i="3"/>
  <c r="E40" i="3" s="1"/>
  <c r="J19" i="3"/>
  <c r="E124" i="3" s="1"/>
  <c r="I19" i="3"/>
  <c r="E107" i="3" s="1"/>
  <c r="H19" i="3"/>
  <c r="E90" i="3" s="1"/>
  <c r="G19" i="3"/>
  <c r="E73" i="3" s="1"/>
  <c r="F19" i="3"/>
  <c r="E56" i="3" s="1"/>
  <c r="E19" i="3"/>
  <c r="E39" i="3" s="1"/>
  <c r="J18" i="3"/>
  <c r="E123" i="3" s="1"/>
  <c r="I18" i="3"/>
  <c r="E106" i="3" s="1"/>
  <c r="H18" i="3"/>
  <c r="E89" i="3" s="1"/>
  <c r="G18" i="3"/>
  <c r="E72" i="3" s="1"/>
  <c r="F18" i="3"/>
  <c r="E55" i="3" s="1"/>
  <c r="E18" i="3"/>
  <c r="E38" i="3" s="1"/>
  <c r="J17" i="3"/>
  <c r="E122" i="3" s="1"/>
  <c r="I17" i="3"/>
  <c r="E105" i="3" s="1"/>
  <c r="H17" i="3"/>
  <c r="E88" i="3" s="1"/>
  <c r="G17" i="3"/>
  <c r="E71" i="3" s="1"/>
  <c r="F17" i="3"/>
  <c r="E54" i="3" s="1"/>
  <c r="E17" i="3"/>
  <c r="E37" i="3" s="1"/>
  <c r="J16" i="3"/>
  <c r="E121" i="3" s="1"/>
  <c r="I16" i="3"/>
  <c r="E104" i="3" s="1"/>
  <c r="H16" i="3"/>
  <c r="E87" i="3" s="1"/>
  <c r="G16" i="3"/>
  <c r="E70" i="3" s="1"/>
  <c r="F16" i="3"/>
  <c r="E53" i="3" s="1"/>
  <c r="E16" i="3"/>
  <c r="E36" i="3" s="1"/>
  <c r="J15" i="3"/>
  <c r="E120" i="3" s="1"/>
  <c r="I15" i="3"/>
  <c r="E103" i="3" s="1"/>
  <c r="H15" i="3"/>
  <c r="E86" i="3" s="1"/>
  <c r="G15" i="3"/>
  <c r="E69" i="3" s="1"/>
  <c r="F15" i="3"/>
  <c r="E52" i="3" s="1"/>
  <c r="E15" i="3"/>
  <c r="E35" i="3" s="1"/>
  <c r="J14" i="3"/>
  <c r="E119" i="3" s="1"/>
  <c r="I14" i="3"/>
  <c r="E102" i="3" s="1"/>
  <c r="H14" i="3"/>
  <c r="E85" i="3" s="1"/>
  <c r="G14" i="3"/>
  <c r="E68" i="3" s="1"/>
  <c r="F14" i="3"/>
  <c r="E51" i="3" s="1"/>
  <c r="E14" i="3"/>
  <c r="E34" i="3" s="1"/>
  <c r="J13" i="3"/>
  <c r="E118" i="3" s="1"/>
  <c r="I13" i="3"/>
  <c r="E101" i="3" s="1"/>
  <c r="H13" i="3"/>
  <c r="E84" i="3" s="1"/>
  <c r="G13" i="3"/>
  <c r="E67" i="3" s="1"/>
  <c r="F13" i="3"/>
  <c r="E50" i="3" s="1"/>
  <c r="E13" i="3"/>
  <c r="E33" i="3" s="1"/>
  <c r="J12" i="3"/>
  <c r="E117" i="3" s="1"/>
  <c r="I12" i="3"/>
  <c r="E100" i="3" s="1"/>
  <c r="H12" i="3"/>
  <c r="E83" i="3" s="1"/>
  <c r="G12" i="3"/>
  <c r="E66" i="3" s="1"/>
  <c r="F12" i="3"/>
  <c r="E49" i="3" s="1"/>
  <c r="E12" i="3"/>
  <c r="E32" i="3" s="1"/>
  <c r="R20" i="3" l="1"/>
  <c r="Z38" i="4"/>
  <c r="I5" i="3"/>
  <c r="A1" i="4"/>
  <c r="A5" i="4"/>
  <c r="D12" i="5"/>
  <c r="A7" i="2"/>
  <c r="A53" i="2"/>
  <c r="A40" i="2"/>
  <c r="A41" i="2"/>
  <c r="A42" i="2"/>
  <c r="A43" i="2"/>
  <c r="A44" i="2"/>
  <c r="A45" i="2"/>
  <c r="A46" i="2"/>
  <c r="A47" i="2"/>
  <c r="A48" i="2"/>
  <c r="A49" i="2"/>
  <c r="A50" i="2"/>
  <c r="A39" i="2"/>
  <c r="B40" i="2"/>
  <c r="B41" i="2"/>
  <c r="B42" i="2"/>
  <c r="B43" i="2"/>
  <c r="B44" i="2"/>
  <c r="B45" i="2"/>
  <c r="B46" i="2"/>
  <c r="B47" i="2"/>
  <c r="B48" i="2"/>
  <c r="B49" i="2"/>
  <c r="B50" i="2"/>
  <c r="B39" i="2"/>
  <c r="B25" i="2"/>
  <c r="B26" i="2"/>
  <c r="B27" i="2"/>
  <c r="B28" i="2"/>
  <c r="B29" i="2"/>
  <c r="B31" i="2"/>
  <c r="B32" i="2"/>
  <c r="B33" i="2"/>
  <c r="B34" i="2"/>
  <c r="B35" i="2"/>
  <c r="B36" i="2"/>
  <c r="B24" i="2"/>
  <c r="A36" i="2"/>
  <c r="A33" i="2"/>
  <c r="A34" i="2"/>
  <c r="A35" i="2"/>
  <c r="A25" i="2"/>
  <c r="A26" i="2"/>
  <c r="A27" i="2"/>
  <c r="A28" i="2"/>
  <c r="A29" i="2"/>
  <c r="A30" i="2"/>
  <c r="A31" i="2"/>
  <c r="A32" i="2"/>
  <c r="A24" i="2"/>
  <c r="E17" i="2"/>
  <c r="E18" i="2"/>
  <c r="E19" i="2"/>
  <c r="E20" i="2"/>
  <c r="E21" i="2"/>
  <c r="E16" i="2"/>
  <c r="E10" i="2"/>
  <c r="E11" i="2"/>
  <c r="E12" i="2"/>
  <c r="E13" i="2"/>
  <c r="E14" i="2"/>
  <c r="E15" i="2"/>
  <c r="E9" i="2"/>
  <c r="D17" i="2"/>
  <c r="D18" i="2"/>
  <c r="D19" i="2"/>
  <c r="D20" i="2"/>
  <c r="D21" i="2"/>
  <c r="D16" i="2"/>
  <c r="D10" i="2"/>
  <c r="D11" i="2"/>
  <c r="D12" i="2"/>
  <c r="D13" i="2"/>
  <c r="D14" i="2"/>
  <c r="D15" i="2"/>
  <c r="D9" i="2"/>
  <c r="B17" i="2"/>
  <c r="B18" i="2"/>
  <c r="B19" i="2"/>
  <c r="B20" i="2"/>
  <c r="B21" i="2"/>
  <c r="B16" i="2"/>
  <c r="A17" i="2"/>
  <c r="A18" i="2"/>
  <c r="A19" i="2"/>
  <c r="A20" i="2"/>
  <c r="A21" i="2"/>
  <c r="A16" i="2"/>
  <c r="A15" i="2"/>
  <c r="B15" i="2"/>
  <c r="A14" i="2"/>
  <c r="B14" i="2"/>
  <c r="A10" i="2"/>
  <c r="A11" i="2"/>
  <c r="A12" i="2"/>
  <c r="A13" i="2"/>
  <c r="A9" i="2"/>
  <c r="A5" i="2"/>
  <c r="A1" i="2"/>
  <c r="I1" i="3" l="1"/>
  <c r="F109" i="2" l="1"/>
  <c r="H108" i="2"/>
  <c r="F108" i="2"/>
  <c r="H107" i="2"/>
  <c r="F107" i="2"/>
  <c r="H98" i="2"/>
  <c r="F98" i="2"/>
  <c r="O53" i="4"/>
  <c r="R53" i="4" s="1"/>
  <c r="K53" i="4"/>
  <c r="J53" i="4"/>
  <c r="I53" i="4"/>
  <c r="H53" i="4"/>
  <c r="O52" i="4"/>
  <c r="P52" i="4" s="1"/>
  <c r="K52" i="4"/>
  <c r="J52" i="4"/>
  <c r="I52" i="4"/>
  <c r="H52" i="4"/>
  <c r="O51" i="4"/>
  <c r="R51" i="4" s="1"/>
  <c r="K51" i="4"/>
  <c r="J51" i="4"/>
  <c r="I51" i="4"/>
  <c r="H51" i="4"/>
  <c r="O50" i="4"/>
  <c r="R50" i="4" s="1"/>
  <c r="K50" i="4"/>
  <c r="J50" i="4"/>
  <c r="I50" i="4"/>
  <c r="H50" i="4"/>
  <c r="O49" i="4"/>
  <c r="Q49" i="4" s="1"/>
  <c r="K49" i="4"/>
  <c r="J49" i="4"/>
  <c r="I49" i="4"/>
  <c r="H49" i="4"/>
  <c r="O48" i="4"/>
  <c r="P48" i="4" s="1"/>
  <c r="I48" i="4" s="1"/>
  <c r="O47" i="4"/>
  <c r="S47" i="4" s="1"/>
  <c r="L47" i="4" s="1"/>
  <c r="O44" i="4"/>
  <c r="Q44" i="4" s="1"/>
  <c r="K44" i="4"/>
  <c r="J44" i="4"/>
  <c r="I44" i="4"/>
  <c r="H44" i="4"/>
  <c r="O43" i="4"/>
  <c r="Q43" i="4" s="1"/>
  <c r="K43" i="4"/>
  <c r="J43" i="4"/>
  <c r="I43" i="4"/>
  <c r="H43" i="4"/>
  <c r="O42" i="4"/>
  <c r="S42" i="4" s="1"/>
  <c r="L42" i="4" s="1"/>
  <c r="K42" i="4"/>
  <c r="J42" i="4"/>
  <c r="I42" i="4"/>
  <c r="H42" i="4"/>
  <c r="O41" i="4"/>
  <c r="Q41" i="4" s="1"/>
  <c r="K41" i="4"/>
  <c r="J41" i="4"/>
  <c r="I41" i="4"/>
  <c r="H41" i="4"/>
  <c r="O40" i="4"/>
  <c r="S40" i="4" s="1"/>
  <c r="O39" i="4"/>
  <c r="Q39" i="4" s="1"/>
  <c r="J39" i="4" s="1"/>
  <c r="O38" i="4"/>
  <c r="O35" i="4"/>
  <c r="S35" i="4" s="1"/>
  <c r="L35" i="4" s="1"/>
  <c r="O34" i="4"/>
  <c r="H34" i="4" s="1"/>
  <c r="O32" i="4"/>
  <c r="S32" i="4" s="1"/>
  <c r="L32" i="4"/>
  <c r="O31" i="4"/>
  <c r="S31" i="4" s="1"/>
  <c r="L31" i="4" s="1"/>
  <c r="F97" i="2"/>
  <c r="H95" i="2"/>
  <c r="F95" i="2"/>
  <c r="F94" i="2"/>
  <c r="F92" i="2"/>
  <c r="H91" i="2"/>
  <c r="F91" i="2"/>
  <c r="F90" i="2"/>
  <c r="F89" i="2"/>
  <c r="G88" i="2"/>
  <c r="F88" i="2"/>
  <c r="G87" i="2"/>
  <c r="F87" i="2"/>
  <c r="F82" i="2"/>
  <c r="F81" i="2"/>
  <c r="G80" i="2"/>
  <c r="F80" i="2"/>
  <c r="G79" i="2"/>
  <c r="F79" i="2"/>
  <c r="G78" i="2"/>
  <c r="F78" i="2"/>
  <c r="G77" i="2"/>
  <c r="F77" i="2"/>
  <c r="F74" i="2"/>
  <c r="F73" i="2"/>
  <c r="G72" i="2"/>
  <c r="F72" i="2"/>
  <c r="F66" i="2"/>
  <c r="F63" i="2"/>
  <c r="H40" i="4" l="1"/>
  <c r="S50" i="4"/>
  <c r="L50" i="4" s="1"/>
  <c r="H39" i="4"/>
  <c r="S43" i="4"/>
  <c r="L43" i="4" s="1"/>
  <c r="P40" i="4"/>
  <c r="I40" i="4" s="1"/>
  <c r="R44" i="4"/>
  <c r="S53" i="4"/>
  <c r="L53" i="4" s="1"/>
  <c r="Q40" i="4"/>
  <c r="J40" i="4" s="1"/>
  <c r="S44" i="4"/>
  <c r="L44" i="4" s="1"/>
  <c r="R40" i="4"/>
  <c r="R49" i="4"/>
  <c r="P50" i="4"/>
  <c r="S49" i="4"/>
  <c r="L49" i="4" s="1"/>
  <c r="Q50" i="4"/>
  <c r="R43" i="4"/>
  <c r="P44" i="4"/>
  <c r="H35" i="4"/>
  <c r="H32" i="4"/>
  <c r="S34" i="4"/>
  <c r="L34" i="4" s="1"/>
  <c r="P41" i="4"/>
  <c r="P47" i="4"/>
  <c r="I47" i="4" s="1"/>
  <c r="Q47" i="4"/>
  <c r="J47" i="4" s="1"/>
  <c r="P38" i="4"/>
  <c r="I38" i="4" s="1"/>
  <c r="R41" i="4"/>
  <c r="P42" i="4"/>
  <c r="H47" i="4"/>
  <c r="R47" i="4"/>
  <c r="Q38" i="4"/>
  <c r="J38" i="4" s="1"/>
  <c r="S41" i="4"/>
  <c r="L41" i="4" s="1"/>
  <c r="Q42" i="4"/>
  <c r="Q48" i="4"/>
  <c r="J48" i="4" s="1"/>
  <c r="S51" i="4"/>
  <c r="L51" i="4" s="1"/>
  <c r="Q52" i="4"/>
  <c r="H31" i="4"/>
  <c r="H38" i="4"/>
  <c r="P39" i="4"/>
  <c r="I39" i="4" s="1"/>
  <c r="R42" i="4"/>
  <c r="P43" i="4"/>
  <c r="H48" i="4"/>
  <c r="R48" i="4"/>
  <c r="P49" i="4"/>
  <c r="R52" i="4"/>
  <c r="P53" i="4"/>
  <c r="S48" i="4"/>
  <c r="S52" i="4"/>
  <c r="L52" i="4" s="1"/>
  <c r="Q53" i="4"/>
  <c r="P51" i="4"/>
  <c r="Q51" i="4"/>
  <c r="L48" i="4" l="1"/>
  <c r="L40" i="4"/>
  <c r="Y48" i="4"/>
  <c r="Y47" i="4"/>
  <c r="Y39" i="4"/>
  <c r="O102" i="2" s="1"/>
  <c r="K40" i="4"/>
  <c r="R38" i="4"/>
  <c r="O89" i="2"/>
  <c r="H89" i="2" s="1"/>
  <c r="O81" i="2"/>
  <c r="H81" i="2" s="1"/>
  <c r="O73" i="2"/>
  <c r="P109" i="2" s="1"/>
  <c r="M30" i="3"/>
  <c r="C28" i="1"/>
  <c r="B28" i="1"/>
  <c r="C19" i="1"/>
  <c r="B19" i="1"/>
  <c r="K48" i="4" l="1"/>
  <c r="O104" i="2"/>
  <c r="K47" i="4"/>
  <c r="O103" i="2"/>
  <c r="O109" i="2" s="1"/>
  <c r="R39" i="4"/>
  <c r="K39" i="4" s="1"/>
  <c r="S39" i="4"/>
  <c r="L39" i="4" s="1"/>
  <c r="S38" i="4"/>
  <c r="L38" i="4" s="1"/>
  <c r="B56" i="4"/>
  <c r="A2" i="4" s="1"/>
  <c r="K38" i="4"/>
  <c r="O90" i="2"/>
  <c r="H73" i="2"/>
  <c r="B57" i="4" l="1"/>
  <c r="B58" i="4" s="1"/>
  <c r="O92" i="2"/>
  <c r="H92" i="2" s="1"/>
  <c r="H90" i="2"/>
  <c r="C8" i="5" l="1"/>
  <c r="C1" i="4"/>
  <c r="A7" i="1"/>
  <c r="F64" i="2"/>
  <c r="M62" i="2"/>
  <c r="F62" i="2" s="1"/>
  <c r="J108" i="2"/>
  <c r="K108" i="2" s="1"/>
  <c r="J107" i="2"/>
  <c r="K107" i="2" s="1"/>
  <c r="J106" i="2"/>
  <c r="J105" i="2"/>
  <c r="J104" i="2"/>
  <c r="J103" i="2"/>
  <c r="F103" i="2" s="1"/>
  <c r="J102" i="2"/>
  <c r="F102" i="2" s="1"/>
  <c r="J101" i="2"/>
  <c r="F101" i="2" s="1"/>
  <c r="J100" i="2"/>
  <c r="J99" i="2"/>
  <c r="J98" i="2"/>
  <c r="J88" i="2"/>
  <c r="J87" i="2"/>
  <c r="J86" i="2"/>
  <c r="F86" i="2" s="1"/>
  <c r="J85" i="2"/>
  <c r="F85" i="2" s="1"/>
  <c r="J84" i="2"/>
  <c r="F84" i="2" s="1"/>
  <c r="J83" i="2"/>
  <c r="F83" i="2" s="1"/>
  <c r="J80" i="2"/>
  <c r="K80" i="2" s="1"/>
  <c r="J79" i="2"/>
  <c r="J78" i="2"/>
  <c r="K78" i="2" s="1"/>
  <c r="J77" i="2"/>
  <c r="J76" i="2"/>
  <c r="J75" i="2"/>
  <c r="F75" i="2" s="1"/>
  <c r="J72" i="2"/>
  <c r="J71" i="2"/>
  <c r="F71" i="2" s="1"/>
  <c r="J70" i="2"/>
  <c r="F70" i="2" s="1"/>
  <c r="J69" i="2"/>
  <c r="F69" i="2" s="1"/>
  <c r="J68" i="2"/>
  <c r="F68" i="2" s="1"/>
  <c r="J67" i="2"/>
  <c r="K105" i="2" l="1"/>
  <c r="H105" i="2" s="1"/>
  <c r="F105" i="2"/>
  <c r="K106" i="2"/>
  <c r="H106" i="2" s="1"/>
  <c r="F106" i="2"/>
  <c r="K76" i="2"/>
  <c r="G76" i="2" s="1"/>
  <c r="F76" i="2"/>
  <c r="K100" i="2"/>
  <c r="H100" i="2" s="1"/>
  <c r="F100" i="2"/>
  <c r="K99" i="2"/>
  <c r="H99" i="2" s="1"/>
  <c r="F99" i="2"/>
  <c r="K67" i="2"/>
  <c r="G67" i="2" s="1"/>
  <c r="F67" i="2"/>
  <c r="K104" i="2"/>
  <c r="H104" i="2" s="1"/>
  <c r="F104" i="2"/>
  <c r="K98" i="2"/>
  <c r="B111" i="2"/>
  <c r="A2" i="2" s="1"/>
  <c r="K101" i="2"/>
  <c r="H101" i="2" s="1"/>
  <c r="K102" i="2"/>
  <c r="H102" i="2" s="1"/>
  <c r="K103" i="2"/>
  <c r="H103" i="2" s="1"/>
  <c r="K86" i="2"/>
  <c r="G86" i="2" s="1"/>
  <c r="K88" i="2"/>
  <c r="K84" i="2"/>
  <c r="G84" i="2" s="1"/>
  <c r="K83" i="2"/>
  <c r="G83" i="2" s="1"/>
  <c r="K85" i="2"/>
  <c r="G85" i="2" s="1"/>
  <c r="K87" i="2"/>
  <c r="K75" i="2"/>
  <c r="G75" i="2" s="1"/>
  <c r="K77" i="2"/>
  <c r="K79" i="2"/>
  <c r="K72" i="2"/>
  <c r="K69" i="2"/>
  <c r="G69" i="2" s="1"/>
  <c r="K70" i="2"/>
  <c r="G70" i="2" s="1"/>
  <c r="K68" i="2"/>
  <c r="G68" i="2" s="1"/>
  <c r="K71" i="2"/>
  <c r="G71" i="2" s="1"/>
  <c r="B7" i="5" l="1"/>
  <c r="H109" i="2"/>
  <c r="B112" i="2" s="1"/>
  <c r="B113" i="2" s="1"/>
  <c r="B8" i="5"/>
  <c r="M22" i="3"/>
  <c r="M20" i="3"/>
  <c r="M26" i="3"/>
  <c r="M24" i="3"/>
  <c r="M27" i="3"/>
  <c r="M21" i="3"/>
  <c r="M25" i="3"/>
  <c r="M23" i="3"/>
  <c r="M29" i="3"/>
  <c r="M28" i="3"/>
  <c r="M31" i="3"/>
  <c r="B12" i="5" l="1"/>
  <c r="C7" i="5"/>
  <c r="C1" i="2"/>
  <c r="E7" i="5" l="1"/>
  <c r="C12" i="5"/>
  <c r="E8" i="5"/>
  <c r="E12" i="5" l="1"/>
</calcChain>
</file>

<file path=xl/sharedStrings.xml><?xml version="1.0" encoding="utf-8"?>
<sst xmlns="http://schemas.openxmlformats.org/spreadsheetml/2006/main" count="690" uniqueCount="243">
  <si>
    <t>Comparative Balance Sheets</t>
  </si>
  <si>
    <t>Income Statement</t>
  </si>
  <si>
    <t>Sales</t>
  </si>
  <si>
    <t>Cost of Goods Sold</t>
  </si>
  <si>
    <t>Assets</t>
  </si>
  <si>
    <t>Gross Margin</t>
  </si>
  <si>
    <t>Cash</t>
  </si>
  <si>
    <t>Depreciation Expense</t>
  </si>
  <si>
    <t>Accounts Receivable</t>
  </si>
  <si>
    <t>Other Operating Expenses</t>
  </si>
  <si>
    <t>Income from Operations</t>
  </si>
  <si>
    <t>Other Income (Expenses):</t>
  </si>
  <si>
    <t>Totals</t>
  </si>
  <si>
    <t>Income before Income Taxes</t>
  </si>
  <si>
    <t>Income Taxes Expense</t>
  </si>
  <si>
    <t>Liabilities &amp; Stockholders' Equity</t>
  </si>
  <si>
    <t>Net Income</t>
  </si>
  <si>
    <t>Accounts Payable</t>
  </si>
  <si>
    <t>Additional Information:</t>
  </si>
  <si>
    <t>A.</t>
  </si>
  <si>
    <t>B.</t>
  </si>
  <si>
    <t>Cash paid for merchandise inventory</t>
  </si>
  <si>
    <t>C.</t>
  </si>
  <si>
    <t>Cash paid for income taxes</t>
  </si>
  <si>
    <t>Retained Earnings</t>
  </si>
  <si>
    <t>D.</t>
  </si>
  <si>
    <t>Cash dividends paid</t>
  </si>
  <si>
    <t>E.</t>
  </si>
  <si>
    <t>Cash paid for other operating expenses</t>
  </si>
  <si>
    <t>F.</t>
  </si>
  <si>
    <t>G.</t>
  </si>
  <si>
    <t>Cash received from customers</t>
  </si>
  <si>
    <t>H.</t>
  </si>
  <si>
    <t>I.</t>
  </si>
  <si>
    <t>J.</t>
  </si>
  <si>
    <t>K.</t>
  </si>
  <si>
    <t>Statement of Cash Flows</t>
  </si>
  <si>
    <t>Cash flows from operating activities:</t>
  </si>
  <si>
    <t>Net cash flows from operating activities</t>
  </si>
  <si>
    <t>Cash flows from investing activities:</t>
  </si>
  <si>
    <t>Net cash flows from investing activities</t>
  </si>
  <si>
    <t>Cash flows from financing activities:</t>
  </si>
  <si>
    <t>Net cash flows from financing activities</t>
  </si>
  <si>
    <t>Net increase (decrease) in cash</t>
  </si>
  <si>
    <t>Add decrease in Accounts Receivable</t>
  </si>
  <si>
    <t>Accum. Depr.</t>
  </si>
  <si>
    <t>Total Assets</t>
  </si>
  <si>
    <t>Total Liabilities</t>
  </si>
  <si>
    <t>Total Liabilities and Stockholders' Equity</t>
  </si>
  <si>
    <t>Total Stockholders' Equity</t>
  </si>
  <si>
    <t>Balance Sheet</t>
  </si>
  <si>
    <t>Reconcilation of Net Income to Net Cash Flows from Operating Activities</t>
  </si>
  <si>
    <t>Non-Cash Investing and Financing Activities</t>
  </si>
  <si>
    <t>Beginning cash balance</t>
  </si>
  <si>
    <t>Ending cash balance</t>
  </si>
  <si>
    <t>Accounts</t>
  </si>
  <si>
    <t>F/S labels</t>
  </si>
  <si>
    <t>Company/dates</t>
  </si>
  <si>
    <t>Increases/decreases</t>
  </si>
  <si>
    <t xml:space="preserve">Add increase in </t>
  </si>
  <si>
    <t>Deduct increase in</t>
  </si>
  <si>
    <t>Add decrease in</t>
  </si>
  <si>
    <t>Deduct decrease in</t>
  </si>
  <si>
    <t xml:space="preserve">Add </t>
  </si>
  <si>
    <t>Deduct</t>
  </si>
  <si>
    <t>Add increase in  Accounts Payable</t>
  </si>
  <si>
    <t>Add increase in  Accounts Receivable</t>
  </si>
  <si>
    <t>Add increase in  Accum. Depr.</t>
  </si>
  <si>
    <t>Add increase in  Cash</t>
  </si>
  <si>
    <t>Deduct increase in Accounts Payable</t>
  </si>
  <si>
    <t>Deduct increase in Accounts Receivable</t>
  </si>
  <si>
    <t>Deduct increase in Accum. Depr.</t>
  </si>
  <si>
    <t>Deduct increase in Cash</t>
  </si>
  <si>
    <t>Add decrease in Accounts Payable</t>
  </si>
  <si>
    <t>Add decrease in Accum. Depr.</t>
  </si>
  <si>
    <t>Add decrease in Cash</t>
  </si>
  <si>
    <t>Add decrease in Cost of Goods Sold</t>
  </si>
  <si>
    <t>Add decrease in Depreciation Expense</t>
  </si>
  <si>
    <t>Add decrease in Income Taxes Expense</t>
  </si>
  <si>
    <t>Add decrease in Other Operating Expenses</t>
  </si>
  <si>
    <t>Add decrease in Sales</t>
  </si>
  <si>
    <t>Deduct decrease in Accounts Payable</t>
  </si>
  <si>
    <t>Deduct decrease in Accounts Receivable</t>
  </si>
  <si>
    <t>Deduct decrease in Accum. Depr.</t>
  </si>
  <si>
    <t>Deduct decrease in Cash</t>
  </si>
  <si>
    <t>Deduct decrease in Cost of Goods Sold</t>
  </si>
  <si>
    <t>Deduct decrease in Depreciation Expense</t>
  </si>
  <si>
    <t>Deduct decrease in Income Taxes Expense</t>
  </si>
  <si>
    <t>Deduct decrease in Other Operating Expenses</t>
  </si>
  <si>
    <t>Deduct decrease in Sales</t>
  </si>
  <si>
    <t>Add  Cost of Goods Sold</t>
  </si>
  <si>
    <t>Add  Depreciation Expense</t>
  </si>
  <si>
    <t>Add  Income Taxes Expense</t>
  </si>
  <si>
    <t>Add  Other Operating Expenses</t>
  </si>
  <si>
    <t>Add  Sales</t>
  </si>
  <si>
    <t>Deduct Cost of Goods Sold</t>
  </si>
  <si>
    <t>Deduct Depreciation Expense</t>
  </si>
  <si>
    <t>Deduct Income Taxes Expense</t>
  </si>
  <si>
    <t>Deduct Other Operating Expenses</t>
  </si>
  <si>
    <t>Deduct Sales</t>
  </si>
  <si>
    <t>Reconciliation Worksheet</t>
  </si>
  <si>
    <t>ADD Non-Cash Expenses</t>
  </si>
  <si>
    <t>ADD Losses and DEDUCT Gains</t>
  </si>
  <si>
    <t>Adjust for accruals -- Non-Cash, Current, Operating Assets &amp; Liabilities</t>
  </si>
  <si>
    <t>Account</t>
  </si>
  <si>
    <t>Ending Balance</t>
  </si>
  <si>
    <t>Beginning Balance</t>
  </si>
  <si>
    <t>Change in Balance</t>
  </si>
  <si>
    <t>Increase or Decrease</t>
  </si>
  <si>
    <t>Liabilities</t>
  </si>
  <si>
    <t>decrease</t>
  </si>
  <si>
    <t>increase</t>
  </si>
  <si>
    <t>Possible</t>
  </si>
  <si>
    <t>Incorrect</t>
  </si>
  <si>
    <t>Correct</t>
  </si>
  <si>
    <t>Shuffle formulas</t>
  </si>
  <si>
    <t>Autograder</t>
  </si>
  <si>
    <t>Solution</t>
  </si>
  <si>
    <t>Score Summary</t>
  </si>
  <si>
    <t>Pieces Possible</t>
  </si>
  <si>
    <t>Points Possible</t>
  </si>
  <si>
    <t>Points Earned</t>
  </si>
  <si>
    <t>Reconciliation worksheet</t>
  </si>
  <si>
    <t>Merchandise Inventory</t>
  </si>
  <si>
    <t>Long-term Note Payable</t>
  </si>
  <si>
    <t>Common Stock</t>
  </si>
  <si>
    <t>L.</t>
  </si>
  <si>
    <t>December 31, 2027</t>
  </si>
  <si>
    <t>December 31</t>
  </si>
  <si>
    <t>Add increase in  Common Stock</t>
  </si>
  <si>
    <t>Add increase in  Long-term Note Payable</t>
  </si>
  <si>
    <t>Add increase in  Merchandise Inventory</t>
  </si>
  <si>
    <t>Add increase in  Retained Earnings</t>
  </si>
  <si>
    <t>Deduct increase in Common Stock</t>
  </si>
  <si>
    <t>Deduct increase in Long-term Note Payable</t>
  </si>
  <si>
    <t>Deduct increase in Merchandise Inventory</t>
  </si>
  <si>
    <t>Deduct increase in Retained Earnings</t>
  </si>
  <si>
    <t>Add decrease in Common Stock</t>
  </si>
  <si>
    <t>Add decrease in Long-term Note Payable</t>
  </si>
  <si>
    <t>Add decrease in Merchandise Inventory</t>
  </si>
  <si>
    <t>Add decrease in Retained Earnings</t>
  </si>
  <si>
    <t>Deduct decrease in Common Stock</t>
  </si>
  <si>
    <t>Deduct decrease in Long-term Note Payable</t>
  </si>
  <si>
    <t>Deduct decrease in Merchandise Inventory</t>
  </si>
  <si>
    <t>Deduct decrease in Retained Earnings</t>
  </si>
  <si>
    <t>Formal co name</t>
  </si>
  <si>
    <t>C/S-par</t>
  </si>
  <si>
    <t>P/S-par</t>
  </si>
  <si>
    <t>Short co name</t>
  </si>
  <si>
    <t>C/S-auth</t>
  </si>
  <si>
    <t>P/S-auth</t>
  </si>
  <si>
    <t>Year</t>
  </si>
  <si>
    <t>C/S-issued</t>
  </si>
  <si>
    <t>P/S-issued</t>
  </si>
  <si>
    <t>Month</t>
  </si>
  <si>
    <t>January</t>
  </si>
  <si>
    <t>C/S-O/S</t>
  </si>
  <si>
    <t>P/S-O/S</t>
  </si>
  <si>
    <t>Day</t>
  </si>
  <si>
    <t>P/S-div rate</t>
  </si>
  <si>
    <t>December</t>
  </si>
  <si>
    <t>P/S-cum/non</t>
  </si>
  <si>
    <t>Data:</t>
  </si>
  <si>
    <t>zzz</t>
  </si>
  <si>
    <t>questions:  1 -- prepare a statement of cash flows using the direct method (including a reconcilation of net income to net cash flows from operating activities).</t>
  </si>
  <si>
    <t>Year 1 EOY Balance</t>
  </si>
  <si>
    <t>Year 1 and account name</t>
  </si>
  <si>
    <t>Year 2 and account name</t>
  </si>
  <si>
    <t>Year 2 EOY Balance</t>
  </si>
  <si>
    <t>xxx</t>
  </si>
  <si>
    <t>Income statement for Year 2:</t>
  </si>
  <si>
    <t>N/A</t>
  </si>
  <si>
    <t>Additional information:</t>
  </si>
  <si>
    <t>these columns used below</t>
  </si>
  <si>
    <t>Required:</t>
  </si>
  <si>
    <t>2.  Complete the Reconciliation worksheet provided -- the template is provided on a separate tab in this file.</t>
  </si>
  <si>
    <t>3.  Complete the reconciliation of net income to net cash flows from operating activities section in the statement of cash flows template.</t>
  </si>
  <si>
    <t>Instructions cells:  A6:A55</t>
  </si>
  <si>
    <t>File overview:</t>
  </si>
  <si>
    <t>Description</t>
  </si>
  <si>
    <t>This file has three working tabs.</t>
  </si>
  <si>
    <t>The Data tab provides a blank sheet to use for organizing data, for use in assigning range names.  Use of this tab is optional.  The Reconciliation tab provides a structured space where you can track the items that cause the difference between net income and net cash flows from operating activities.  You will get feedback, and points for this worksheet.  The Statement of Cash Flows tab requires that you complete all 6 sections of the statement of cashflows for Flanders Corporation.</t>
  </si>
  <si>
    <t>Account--asset</t>
  </si>
  <si>
    <t>Account--liabililty</t>
  </si>
  <si>
    <t>questions:  4 sections for identifying and calculating reconciling items between net income and net cash flows from operating expenses</t>
  </si>
  <si>
    <t>Use the comparative balance sheet and income statement data provided in the data section of the Statement of Cash Flows tab.</t>
  </si>
  <si>
    <t>Range names:  SCF_Heading, SCF_Section1, SCF_Section1_Total_Line, SCF_Section1_Total_Amount, etc., for 6 sections</t>
  </si>
  <si>
    <t>Identify and document the reconciling items.</t>
  </si>
  <si>
    <t>Enter all amounts as positive numbers in this Reconciliation Worksheet.</t>
  </si>
  <si>
    <t>Section A:  ADD Non-Cash Expenses</t>
  </si>
  <si>
    <t>Section B:  ADD Losses and DEDUCT Gains</t>
  </si>
  <si>
    <t>Section D:  Adjust for accruals -- Current, Operating Liabilities</t>
  </si>
  <si>
    <t>Section C:  Adjust for accruals -- Non-Cash, Current, Operating Assets</t>
  </si>
  <si>
    <t>Range names: ReconWorksheet_Section_A, ReconWorksheet_Section_B, ReconWorksheet_Section_C, ReconWorksheet_Section_D</t>
  </si>
  <si>
    <t>Instructions cells:  A6:A27</t>
  </si>
  <si>
    <t>Fox Corporation</t>
  </si>
  <si>
    <t>Fox</t>
  </si>
  <si>
    <t>Acquired equipment by signing long-term note payable</t>
  </si>
  <si>
    <t>Cash received from borrowing on short-term note payable</t>
  </si>
  <si>
    <t>Cash received from sale of equipment</t>
  </si>
  <si>
    <t>Cash received from sale of Fox Corp's common stock</t>
  </si>
  <si>
    <t>Cash paid for equipment</t>
  </si>
  <si>
    <t>Equipment</t>
  </si>
  <si>
    <t>Loss on sale of Equipment</t>
  </si>
  <si>
    <t>Short-Term Note Payable</t>
  </si>
  <si>
    <t>Wages Payable</t>
  </si>
  <si>
    <t>Add  Accounts Payable</t>
  </si>
  <si>
    <t>Add  Accounts Receivable</t>
  </si>
  <si>
    <t>Add  Loss on sale of Equipment</t>
  </si>
  <si>
    <t>Add decrease in Equipment</t>
  </si>
  <si>
    <t>Add decrease in Loss on sale of Equipment</t>
  </si>
  <si>
    <t>Add decrease in Short-Term Note Payable</t>
  </si>
  <si>
    <t>Add decrease in Wages Payable</t>
  </si>
  <si>
    <t>Add increase in  Cost of Goods Sold</t>
  </si>
  <si>
    <t>Add increase in  Depreciation Expense</t>
  </si>
  <si>
    <t>Add increase in  Equipment</t>
  </si>
  <si>
    <t>Add increase in  Income Taxes Expense</t>
  </si>
  <si>
    <t>Add increase in  Loss on sale of Equipment</t>
  </si>
  <si>
    <t>Add increase in  Other Operating Expenses</t>
  </si>
  <si>
    <t>Add increase in  Sales</t>
  </si>
  <si>
    <t>Add increase in  Short-Term Note Payable</t>
  </si>
  <si>
    <t>Add increase in  Wages Payable</t>
  </si>
  <si>
    <t>Deduct decrease in Equipment</t>
  </si>
  <si>
    <t>Deduct decrease in Loss on sale of Equipment</t>
  </si>
  <si>
    <t>Deduct decrease in Short-Term Note Payable</t>
  </si>
  <si>
    <t>Deduct decrease in Wages Payable</t>
  </si>
  <si>
    <t>Deduct increase in Cost of Goods Sold</t>
  </si>
  <si>
    <t>Deduct increase in Depreciation Expense</t>
  </si>
  <si>
    <t>Deduct increase in Equipment</t>
  </si>
  <si>
    <t>Deduct increase in Income Taxes Expense</t>
  </si>
  <si>
    <t>Deduct increase in Loss on sale of Equipment</t>
  </si>
  <si>
    <t>Deduct increase in Other Operating Expenses</t>
  </si>
  <si>
    <t>Deduct increase in Sales</t>
  </si>
  <si>
    <t>Deduct increase in Short-Term Note Payable</t>
  </si>
  <si>
    <t>Deduct increase in Wages Payable</t>
  </si>
  <si>
    <t>Deduct Loss on sale of Equipment</t>
  </si>
  <si>
    <t>space holder1</t>
  </si>
  <si>
    <t>space holder2</t>
  </si>
  <si>
    <t>Space holder4</t>
  </si>
  <si>
    <t>Space holder3</t>
  </si>
  <si>
    <t>Space holder5</t>
  </si>
  <si>
    <t>Space holder6</t>
  </si>
  <si>
    <t>For the year ended December 31,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</si>
</sst>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font>
    <font>
      <b/>
      <sz val="11"/>
      <color theme="1"/>
      <name val="Calibri"/>
      <family val="2"/>
    </font>
    <font>
      <sz val="10"/>
      <color rgb="FF000000"/>
      <name val="Arial"/>
      <family val="2"/>
    </font>
    <font>
      <b/>
      <sz val="10"/>
      <color rgb="FF000000"/>
      <name val="Arial"/>
      <family val="2"/>
    </font>
    <font>
      <b/>
      <sz val="11"/>
      <name val="Calibri"/>
      <family val="2"/>
    </font>
    <font>
      <sz val="11"/>
      <name val="Calibri"/>
      <family val="2"/>
    </font>
    <font>
      <sz val="11"/>
      <name val="Calibri"/>
      <family val="2"/>
      <scheme val="minor"/>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diagonal/>
    </border>
    <border>
      <left/>
      <right style="hair">
        <color auto="1"/>
      </right>
      <top/>
      <bottom style="thin">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top style="thin">
        <color auto="1"/>
      </top>
      <bottom style="double">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thin">
        <color auto="1"/>
      </top>
      <bottom style="double">
        <color auto="1"/>
      </bottom>
      <diagonal/>
    </border>
    <border>
      <left style="thin">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s>
  <cellStyleXfs count="3">
    <xf numFmtId="0" fontId="0" fillId="0" borderId="0"/>
    <xf numFmtId="0" fontId="2" fillId="0" borderId="0"/>
    <xf numFmtId="0" fontId="7" fillId="0" borderId="0"/>
  </cellStyleXfs>
  <cellXfs count="162">
    <xf numFmtId="0" fontId="0" fillId="0" borderId="0" xfId="0"/>
    <xf numFmtId="0" fontId="0" fillId="0" borderId="0" xfId="0" quotePrefix="1"/>
    <xf numFmtId="0" fontId="1" fillId="0" borderId="0" xfId="0" applyFont="1"/>
    <xf numFmtId="37" fontId="0" fillId="0" borderId="0" xfId="0" applyNumberFormat="1"/>
    <xf numFmtId="0" fontId="0" fillId="0" borderId="3" xfId="0" applyBorder="1"/>
    <xf numFmtId="0" fontId="0" fillId="0" borderId="4" xfId="0" applyBorder="1"/>
    <xf numFmtId="0" fontId="0" fillId="0" borderId="6" xfId="0" applyBorder="1"/>
    <xf numFmtId="37" fontId="0" fillId="0" borderId="3" xfId="0" applyNumberFormat="1" applyBorder="1"/>
    <xf numFmtId="37" fontId="0" fillId="0" borderId="0" xfId="0" applyNumberFormat="1" applyBorder="1"/>
    <xf numFmtId="0" fontId="1" fillId="0" borderId="0" xfId="0" applyFont="1" applyAlignment="1">
      <alignment horizontal="centerContinuous"/>
    </xf>
    <xf numFmtId="0" fontId="0" fillId="0" borderId="0" xfId="0" applyBorder="1"/>
    <xf numFmtId="37" fontId="0" fillId="0" borderId="21" xfId="0" applyNumberFormat="1" applyBorder="1"/>
    <xf numFmtId="37" fontId="0" fillId="0" borderId="22" xfId="0" applyNumberFormat="1" applyBorder="1"/>
    <xf numFmtId="0" fontId="0" fillId="0" borderId="2" xfId="0" applyBorder="1" applyAlignment="1">
      <alignment horizontal="centerContinuous"/>
    </xf>
    <xf numFmtId="0" fontId="0" fillId="0" borderId="3" xfId="0" applyBorder="1" applyAlignment="1">
      <alignment horizontal="centerContinuous"/>
    </xf>
    <xf numFmtId="0" fontId="0" fillId="0" borderId="21" xfId="0" applyBorder="1" applyAlignment="1">
      <alignment horizontal="centerContinuous"/>
    </xf>
    <xf numFmtId="0" fontId="0" fillId="0" borderId="34" xfId="0"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0" fillId="0" borderId="34" xfId="0" applyBorder="1"/>
    <xf numFmtId="0" fontId="0" fillId="0" borderId="0" xfId="0" applyBorder="1" applyAlignment="1">
      <alignment horizontal="center"/>
    </xf>
    <xf numFmtId="0" fontId="0" fillId="0" borderId="4" xfId="0" applyBorder="1" applyAlignment="1">
      <alignment horizontal="center"/>
    </xf>
    <xf numFmtId="0" fontId="1" fillId="0" borderId="34" xfId="0" applyFont="1" applyBorder="1"/>
    <xf numFmtId="37" fontId="0" fillId="0" borderId="4" xfId="0" applyNumberFormat="1" applyBorder="1"/>
    <xf numFmtId="0" fontId="0" fillId="0" borderId="5" xfId="0" applyBorder="1"/>
    <xf numFmtId="0" fontId="0" fillId="0" borderId="2" xfId="0" applyBorder="1"/>
    <xf numFmtId="37" fontId="0" fillId="0" borderId="36" xfId="0" applyNumberFormat="1" applyBorder="1"/>
    <xf numFmtId="37" fontId="0" fillId="0" borderId="35" xfId="0" applyNumberFormat="1" applyBorder="1"/>
    <xf numFmtId="0" fontId="0" fillId="0" borderId="0" xfId="0" quotePrefix="1" applyBorder="1" applyAlignment="1">
      <alignment horizontal="centerContinuous"/>
    </xf>
    <xf numFmtId="0" fontId="5" fillId="0" borderId="0" xfId="0" applyFont="1"/>
    <xf numFmtId="0" fontId="0" fillId="0" borderId="0" xfId="0" applyAlignment="1">
      <alignment vertical="top" wrapText="1"/>
    </xf>
    <xf numFmtId="0" fontId="0" fillId="4" borderId="0" xfId="0" applyFill="1"/>
    <xf numFmtId="0" fontId="0" fillId="0" borderId="0" xfId="0" applyAlignment="1">
      <alignment horizontal="right"/>
    </xf>
    <xf numFmtId="39" fontId="0" fillId="4" borderId="0" xfId="0" applyNumberFormat="1" applyFill="1" applyAlignment="1">
      <alignment horizontal="left"/>
    </xf>
    <xf numFmtId="37" fontId="0" fillId="4" borderId="0" xfId="0" applyNumberFormat="1" applyFill="1"/>
    <xf numFmtId="37" fontId="0" fillId="4" borderId="0" xfId="0" applyNumberFormat="1" applyFill="1" applyAlignment="1">
      <alignment horizontal="left"/>
    </xf>
    <xf numFmtId="0" fontId="0" fillId="4" borderId="0" xfId="0" applyFill="1" applyAlignment="1">
      <alignment horizontal="left"/>
    </xf>
    <xf numFmtId="37" fontId="6" fillId="4" borderId="0" xfId="0" applyNumberFormat="1" applyFont="1" applyFill="1" applyAlignment="1">
      <alignment horizontal="left"/>
    </xf>
    <xf numFmtId="9" fontId="0" fillId="4" borderId="0" xfId="0" applyNumberFormat="1" applyFill="1"/>
    <xf numFmtId="0" fontId="5" fillId="0" borderId="0" xfId="0" applyFont="1" applyFill="1"/>
    <xf numFmtId="0" fontId="5" fillId="0" borderId="0" xfId="0" applyFont="1" applyFill="1" applyAlignment="1">
      <alignment horizontal="centerContinuous"/>
    </xf>
    <xf numFmtId="37" fontId="5" fillId="0" borderId="0" xfId="0" applyNumberFormat="1" applyFont="1" applyFill="1"/>
    <xf numFmtId="0" fontId="5" fillId="0" borderId="0" xfId="0" applyFont="1" applyFill="1" applyAlignment="1">
      <alignment horizontal="right"/>
    </xf>
    <xf numFmtId="37" fontId="5" fillId="0" borderId="0" xfId="0" applyNumberFormat="1" applyFont="1" applyFill="1" applyAlignment="1">
      <alignment horizontal="right"/>
    </xf>
    <xf numFmtId="0" fontId="7" fillId="0" borderId="0" xfId="0" applyFont="1"/>
    <xf numFmtId="1" fontId="7" fillId="0" borderId="0" xfId="2" applyNumberFormat="1"/>
    <xf numFmtId="1" fontId="7" fillId="0" borderId="0" xfId="0" applyNumberFormat="1" applyFont="1" applyAlignment="1">
      <alignment horizontal="left"/>
    </xf>
    <xf numFmtId="0" fontId="7" fillId="0" borderId="0" xfId="2"/>
    <xf numFmtId="0" fontId="7" fillId="3" borderId="0" xfId="0" applyFont="1" applyFill="1"/>
    <xf numFmtId="0" fontId="7" fillId="3" borderId="0" xfId="0" applyFont="1" applyFill="1" applyAlignment="1">
      <alignment horizontal="left"/>
    </xf>
    <xf numFmtId="0" fontId="8" fillId="0" borderId="0" xfId="2" applyFont="1"/>
    <xf numFmtId="0" fontId="0" fillId="0" borderId="0" xfId="0" applyAlignment="1">
      <alignment vertical="top"/>
    </xf>
    <xf numFmtId="0" fontId="5" fillId="0" borderId="0" xfId="0" applyFont="1" applyFill="1" applyAlignment="1">
      <alignment horizontal="left"/>
    </xf>
    <xf numFmtId="0" fontId="0" fillId="0" borderId="0" xfId="0" applyAlignment="1"/>
    <xf numFmtId="0" fontId="1" fillId="0" borderId="0" xfId="0" applyFont="1" applyAlignment="1"/>
    <xf numFmtId="0" fontId="1" fillId="0" borderId="0" xfId="0" applyFont="1" applyAlignment="1">
      <alignment horizontal="center"/>
    </xf>
    <xf numFmtId="37" fontId="0" fillId="0" borderId="0" xfId="0" applyNumberFormat="1" applyAlignment="1"/>
    <xf numFmtId="0" fontId="0" fillId="0" borderId="0" xfId="0" applyFont="1" applyAlignment="1">
      <alignment horizontal="center"/>
    </xf>
    <xf numFmtId="37" fontId="0" fillId="0" borderId="0" xfId="0" applyNumberFormat="1" applyAlignment="1">
      <alignment horizontal="right"/>
    </xf>
    <xf numFmtId="37" fontId="0" fillId="0" borderId="0" xfId="0" applyNumberFormat="1" applyAlignment="1">
      <alignment horizontal="center"/>
    </xf>
    <xf numFmtId="0" fontId="5" fillId="0" borderId="0" xfId="0" applyFont="1" applyFill="1" applyAlignment="1"/>
    <xf numFmtId="0" fontId="0" fillId="0" borderId="0" xfId="0" applyAlignment="1">
      <alignment horizontal="center"/>
    </xf>
    <xf numFmtId="0" fontId="0" fillId="0" borderId="0" xfId="0" applyAlignment="1">
      <alignment horizontal="left"/>
    </xf>
    <xf numFmtId="0" fontId="4" fillId="0" borderId="0" xfId="0" applyFont="1" applyFill="1" applyAlignment="1"/>
    <xf numFmtId="0" fontId="4" fillId="0" borderId="0" xfId="0" applyFont="1" applyFill="1" applyAlignment="1">
      <alignment horizontal="centerContinuous"/>
    </xf>
    <xf numFmtId="0" fontId="5" fillId="0" borderId="0" xfId="0" applyFont="1" applyFill="1" applyBorder="1"/>
    <xf numFmtId="0" fontId="5" fillId="0" borderId="4" xfId="0" applyFont="1" applyFill="1" applyBorder="1"/>
    <xf numFmtId="0" fontId="5" fillId="0" borderId="3" xfId="0" applyFont="1" applyFill="1" applyBorder="1"/>
    <xf numFmtId="0" fontId="5" fillId="0" borderId="16" xfId="0" applyFont="1" applyFill="1" applyBorder="1"/>
    <xf numFmtId="37" fontId="5" fillId="0" borderId="9" xfId="0" applyNumberFormat="1" applyFont="1" applyFill="1" applyBorder="1"/>
    <xf numFmtId="0" fontId="5" fillId="0" borderId="6" xfId="0" applyFont="1" applyFill="1" applyBorder="1"/>
    <xf numFmtId="0" fontId="5" fillId="0" borderId="17" xfId="0" applyFont="1" applyFill="1" applyBorder="1"/>
    <xf numFmtId="37" fontId="5" fillId="0" borderId="15" xfId="0" applyNumberFormat="1" applyFont="1" applyFill="1" applyBorder="1"/>
    <xf numFmtId="0" fontId="5" fillId="0" borderId="18" xfId="0" applyFont="1" applyFill="1" applyBorder="1"/>
    <xf numFmtId="0" fontId="5" fillId="0" borderId="8" xfId="0" applyFont="1" applyFill="1" applyBorder="1"/>
    <xf numFmtId="0" fontId="5" fillId="0" borderId="19" xfId="0" applyFont="1" applyFill="1" applyBorder="1"/>
    <xf numFmtId="0" fontId="5" fillId="0" borderId="14" xfId="0" applyFont="1" applyFill="1" applyBorder="1"/>
    <xf numFmtId="0" fontId="5" fillId="0" borderId="1" xfId="0" applyFont="1" applyFill="1" applyBorder="1" applyAlignment="1">
      <alignment horizontal="center" wrapText="1"/>
    </xf>
    <xf numFmtId="0" fontId="5" fillId="0" borderId="0" xfId="0" applyFont="1" applyFill="1" applyAlignment="1">
      <alignment horizontal="right" vertical="center" textRotation="90" wrapText="1"/>
    </xf>
    <xf numFmtId="0" fontId="5" fillId="0" borderId="7" xfId="0" applyFont="1" applyFill="1" applyBorder="1"/>
    <xf numFmtId="37" fontId="5" fillId="0" borderId="8" xfId="0" applyNumberFormat="1" applyFont="1" applyFill="1" applyBorder="1"/>
    <xf numFmtId="0" fontId="5" fillId="0" borderId="9" xfId="0" applyFont="1" applyFill="1" applyBorder="1"/>
    <xf numFmtId="0" fontId="5" fillId="0" borderId="10" xfId="0" applyFont="1" applyFill="1" applyBorder="1"/>
    <xf numFmtId="37" fontId="5" fillId="0" borderId="11" xfId="0" applyNumberFormat="1" applyFont="1" applyFill="1" applyBorder="1"/>
    <xf numFmtId="0" fontId="5" fillId="0" borderId="12" xfId="0" applyFont="1" applyFill="1" applyBorder="1"/>
    <xf numFmtId="0" fontId="5" fillId="0" borderId="13" xfId="0" applyFont="1" applyFill="1" applyBorder="1"/>
    <xf numFmtId="37" fontId="5" fillId="0" borderId="14" xfId="0" applyNumberFormat="1" applyFont="1" applyFill="1" applyBorder="1"/>
    <xf numFmtId="0" fontId="5" fillId="0" borderId="15" xfId="0" applyFont="1" applyFill="1" applyBorder="1"/>
    <xf numFmtId="37" fontId="0" fillId="0" borderId="30" xfId="0" applyNumberFormat="1" applyBorder="1" applyAlignment="1" applyProtection="1">
      <alignment horizontal="center"/>
    </xf>
    <xf numFmtId="0" fontId="0" fillId="0" borderId="3" xfId="0" applyBorder="1" applyAlignment="1">
      <alignment horizontal="center" wrapText="1"/>
    </xf>
    <xf numFmtId="0" fontId="0" fillId="0" borderId="21" xfId="0" applyBorder="1" applyAlignment="1">
      <alignment horizontal="center" wrapText="1"/>
    </xf>
    <xf numFmtId="0" fontId="2" fillId="0" borderId="0" xfId="1" applyBorder="1"/>
    <xf numFmtId="37" fontId="2" fillId="0" borderId="0" xfId="1" applyNumberFormat="1" applyBorder="1"/>
    <xf numFmtId="39" fontId="2" fillId="0" borderId="0" xfId="1" applyNumberFormat="1" applyBorder="1"/>
    <xf numFmtId="37" fontId="0" fillId="0" borderId="20" xfId="0" applyNumberFormat="1" applyBorder="1"/>
    <xf numFmtId="39" fontId="0" fillId="0" borderId="20" xfId="0" applyNumberFormat="1" applyBorder="1"/>
    <xf numFmtId="39" fontId="0" fillId="0" borderId="37" xfId="0" applyNumberFormat="1" applyBorder="1"/>
    <xf numFmtId="39" fontId="2" fillId="0" borderId="4" xfId="1" applyNumberFormat="1" applyBorder="1"/>
    <xf numFmtId="0" fontId="0" fillId="0" borderId="22" xfId="0" applyBorder="1"/>
    <xf numFmtId="0" fontId="5" fillId="0" borderId="38" xfId="0" applyFont="1" applyFill="1" applyBorder="1"/>
    <xf numFmtId="37" fontId="5" fillId="0" borderId="39" xfId="0" applyNumberFormat="1" applyFont="1" applyFill="1" applyBorder="1"/>
    <xf numFmtId="0" fontId="5" fillId="0" borderId="40" xfId="0" applyFont="1" applyFill="1" applyBorder="1"/>
    <xf numFmtId="0" fontId="7" fillId="0" borderId="0" xfId="0" applyFont="1" applyAlignment="1"/>
    <xf numFmtId="1" fontId="7" fillId="0" borderId="0" xfId="2" applyNumberFormat="1" applyAlignment="1"/>
    <xf numFmtId="1" fontId="7" fillId="0" borderId="0" xfId="0" applyNumberFormat="1" applyFont="1" applyAlignment="1"/>
    <xf numFmtId="0" fontId="7" fillId="0" borderId="0" xfId="2" applyAlignment="1"/>
    <xf numFmtId="0" fontId="7" fillId="3" borderId="0" xfId="0" applyFont="1" applyFill="1" applyAlignment="1"/>
    <xf numFmtId="0" fontId="8" fillId="0" borderId="0" xfId="2" applyFont="1" applyAlignment="1"/>
    <xf numFmtId="0" fontId="0" fillId="0" borderId="0" xfId="0" applyProtection="1"/>
    <xf numFmtId="0" fontId="0" fillId="2" borderId="11" xfId="0" applyFill="1" applyBorder="1" applyProtection="1"/>
    <xf numFmtId="0" fontId="0" fillId="0" borderId="11" xfId="0" applyBorder="1" applyAlignment="1" applyProtection="1">
      <alignment horizontal="center"/>
    </xf>
    <xf numFmtId="0" fontId="0" fillId="0" borderId="11" xfId="0" applyBorder="1" applyProtection="1"/>
    <xf numFmtId="37" fontId="0" fillId="0" borderId="11" xfId="0" applyNumberFormat="1" applyBorder="1" applyProtection="1"/>
    <xf numFmtId="37" fontId="0" fillId="0" borderId="32" xfId="0" applyNumberFormat="1" applyBorder="1" applyProtection="1"/>
    <xf numFmtId="0" fontId="0" fillId="3" borderId="11" xfId="0" applyFill="1" applyBorder="1" applyProtection="1"/>
    <xf numFmtId="37" fontId="0" fillId="0" borderId="8" xfId="0" applyNumberFormat="1" applyBorder="1" applyAlignment="1" applyProtection="1">
      <alignment horizontal="center"/>
    </xf>
    <xf numFmtId="37" fontId="0" fillId="0" borderId="0" xfId="0" applyNumberFormat="1" applyAlignment="1" applyProtection="1">
      <alignment horizontal="center"/>
    </xf>
    <xf numFmtId="37" fontId="0" fillId="0" borderId="8" xfId="0" applyNumberFormat="1" applyBorder="1" applyProtection="1"/>
    <xf numFmtId="37" fontId="0" fillId="0" borderId="14" xfId="0" applyNumberFormat="1" applyBorder="1" applyProtection="1"/>
    <xf numFmtId="37" fontId="0" fillId="0" borderId="33" xfId="0" applyNumberFormat="1" applyBorder="1" applyProtection="1"/>
    <xf numFmtId="37" fontId="0" fillId="0" borderId="0" xfId="0" applyNumberFormat="1" applyProtection="1"/>
    <xf numFmtId="37" fontId="0" fillId="0" borderId="9" xfId="0" applyNumberFormat="1" applyBorder="1" applyProtection="1"/>
    <xf numFmtId="37" fontId="0" fillId="0" borderId="15" xfId="0" applyNumberFormat="1" applyBorder="1" applyProtection="1"/>
    <xf numFmtId="0" fontId="0" fillId="0" borderId="1" xfId="0" applyBorder="1" applyAlignment="1" applyProtection="1">
      <alignment horizontal="center" wrapText="1"/>
    </xf>
    <xf numFmtId="0" fontId="0" fillId="0" borderId="7" xfId="0" applyBorder="1" applyProtection="1"/>
    <xf numFmtId="0" fontId="0" fillId="0" borderId="9" xfId="0" applyBorder="1" applyProtection="1"/>
    <xf numFmtId="0" fontId="0" fillId="0" borderId="10" xfId="0" applyBorder="1" applyProtection="1"/>
    <xf numFmtId="0" fontId="0" fillId="0" borderId="12" xfId="0" applyBorder="1" applyProtection="1"/>
    <xf numFmtId="0" fontId="0" fillId="0" borderId="13" xfId="0" applyBorder="1" applyProtection="1"/>
    <xf numFmtId="0" fontId="0" fillId="0" borderId="15" xfId="0" applyBorder="1" applyProtection="1"/>
    <xf numFmtId="0" fontId="0" fillId="0" borderId="0" xfId="0" applyAlignment="1" applyProtection="1">
      <alignment horizontal="center"/>
    </xf>
    <xf numFmtId="0" fontId="5" fillId="4" borderId="0" xfId="0" applyFont="1" applyFill="1"/>
    <xf numFmtId="37" fontId="5" fillId="4" borderId="0" xfId="0" applyNumberFormat="1" applyFont="1" applyFill="1"/>
    <xf numFmtId="0" fontId="5" fillId="4" borderId="0" xfId="0" applyFont="1" applyFill="1" applyBorder="1"/>
    <xf numFmtId="37" fontId="5" fillId="4" borderId="0" xfId="0" applyNumberFormat="1" applyFont="1" applyFill="1" applyBorder="1"/>
    <xf numFmtId="0" fontId="0" fillId="4" borderId="0" xfId="0" quotePrefix="1" applyFill="1"/>
    <xf numFmtId="0" fontId="0" fillId="0" borderId="0" xfId="0" applyAlignment="1">
      <alignment vertical="top" wrapText="1"/>
    </xf>
    <xf numFmtId="0" fontId="3" fillId="0" borderId="6" xfId="1" applyFont="1" applyBorder="1" applyAlignment="1">
      <alignment horizontal="center" vertical="top" wrapText="1"/>
    </xf>
    <xf numFmtId="0" fontId="0" fillId="0" borderId="6" xfId="0" applyBorder="1" applyAlignment="1">
      <alignment horizontal="center" vertical="top" wrapText="1"/>
    </xf>
    <xf numFmtId="37" fontId="0" fillId="0" borderId="0" xfId="0" applyNumberFormat="1" applyAlignment="1">
      <alignment vertical="top" wrapText="1"/>
    </xf>
    <xf numFmtId="0" fontId="5" fillId="0" borderId="0" xfId="0" applyFont="1" applyFill="1" applyAlignment="1">
      <alignment horizontal="center" vertical="top" wrapText="1"/>
    </xf>
    <xf numFmtId="0" fontId="0" fillId="0" borderId="23" xfId="0" applyBorder="1" applyAlignment="1" applyProtection="1">
      <alignment horizontal="center" vertical="top" wrapText="1"/>
    </xf>
    <xf numFmtId="0" fontId="0" fillId="0" borderId="24" xfId="0" applyBorder="1" applyAlignment="1" applyProtection="1">
      <alignment horizontal="center" vertical="top" wrapText="1"/>
    </xf>
    <xf numFmtId="0" fontId="0" fillId="0" borderId="27" xfId="0" applyBorder="1" applyAlignment="1" applyProtection="1">
      <alignment horizontal="center" vertical="top" wrapText="1"/>
    </xf>
    <xf numFmtId="0" fontId="0" fillId="0" borderId="29" xfId="0" applyBorder="1" applyAlignment="1" applyProtection="1">
      <alignment horizontal="center" vertical="top" wrapText="1"/>
    </xf>
    <xf numFmtId="0" fontId="0" fillId="0" borderId="30" xfId="0" applyBorder="1" applyAlignment="1" applyProtection="1">
      <alignment horizontal="center" vertical="top" wrapText="1"/>
    </xf>
    <xf numFmtId="0" fontId="0" fillId="0" borderId="31" xfId="0" applyBorder="1" applyAlignment="1" applyProtection="1">
      <alignment horizontal="center" vertical="top" wrapText="1"/>
    </xf>
    <xf numFmtId="0" fontId="0" fillId="0" borderId="25" xfId="0" applyBorder="1" applyAlignment="1" applyProtection="1">
      <alignment horizontal="center" vertical="top" wrapText="1"/>
    </xf>
    <xf numFmtId="0" fontId="0" fillId="0" borderId="26" xfId="0" applyBorder="1" applyAlignment="1" applyProtection="1">
      <alignment horizontal="center" vertical="top" wrapText="1"/>
    </xf>
    <xf numFmtId="0" fontId="0" fillId="0" borderId="28" xfId="0" applyBorder="1" applyAlignment="1" applyProtection="1">
      <alignment horizontal="center" vertical="top" wrapText="1"/>
    </xf>
    <xf numFmtId="0" fontId="5" fillId="0" borderId="0" xfId="0" applyFont="1" applyFill="1" applyAlignment="1">
      <alignment horizontal="right" vertical="center" textRotation="90" wrapText="1"/>
    </xf>
    <xf numFmtId="0" fontId="0" fillId="0" borderId="23" xfId="0" applyBorder="1" applyAlignment="1" applyProtection="1">
      <alignment vertical="top" wrapText="1"/>
    </xf>
    <xf numFmtId="0" fontId="0" fillId="0" borderId="24" xfId="0" applyBorder="1" applyAlignment="1" applyProtection="1">
      <alignment vertical="top" wrapText="1"/>
    </xf>
    <xf numFmtId="0" fontId="0" fillId="0" borderId="18" xfId="0" applyBorder="1" applyAlignment="1" applyProtection="1">
      <alignment vertical="top" wrapText="1"/>
    </xf>
    <xf numFmtId="0" fontId="0" fillId="0" borderId="25" xfId="0" applyBorder="1" applyAlignment="1" applyProtection="1">
      <alignment vertical="top" wrapText="1"/>
    </xf>
    <xf numFmtId="0" fontId="0" fillId="0" borderId="26" xfId="0" applyBorder="1" applyAlignment="1" applyProtection="1">
      <alignment vertical="top" wrapText="1"/>
    </xf>
    <xf numFmtId="0" fontId="0" fillId="0" borderId="19" xfId="0" applyBorder="1" applyAlignment="1" applyProtection="1">
      <alignment vertical="top" wrapText="1"/>
    </xf>
    <xf numFmtId="0" fontId="1" fillId="0" borderId="0" xfId="0" applyFont="1" applyAlignment="1" applyProtection="1">
      <alignment vertical="top" wrapText="1"/>
    </xf>
    <xf numFmtId="0" fontId="0" fillId="0" borderId="0" xfId="0" applyAlignment="1" applyProtection="1">
      <alignment vertical="top" wrapText="1"/>
    </xf>
    <xf numFmtId="0" fontId="0" fillId="0" borderId="6" xfId="0" applyBorder="1" applyAlignment="1" applyProtection="1">
      <alignment vertical="top" wrapText="1"/>
    </xf>
    <xf numFmtId="0" fontId="0" fillId="0" borderId="36" xfId="0" applyBorder="1" applyAlignment="1" applyProtection="1">
      <alignment vertical="top" wrapText="1"/>
    </xf>
    <xf numFmtId="0" fontId="0" fillId="0" borderId="35" xfId="0" applyBorder="1" applyAlignment="1" applyProtection="1">
      <alignment vertical="top" wrapText="1"/>
    </xf>
  </cellXfs>
  <cellStyles count="3">
    <cellStyle name="Normal" xfId="0" builtinId="0"/>
    <cellStyle name="Normal 3" xfId="1" xr:uid="{DDE18847-244F-441C-A3E1-58E17533D309}"/>
    <cellStyle name="Normal 3 2" xfId="2" xr:uid="{A23FF6F5-BB5B-4459-B94A-D773A8351E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AAB13-3731-4599-A9E7-DE105FB6E0BE}">
  <dimension ref="A1:F18"/>
  <sheetViews>
    <sheetView showGridLines="0" tabSelected="1" workbookViewId="0">
      <selection sqref="A1:E1"/>
    </sheetView>
  </sheetViews>
  <sheetFormatPr defaultRowHeight="15" x14ac:dyDescent="0.25"/>
  <cols>
    <col min="1" max="1" width="31.28515625" customWidth="1"/>
    <col min="6" max="6" width="7.7109375" customWidth="1"/>
  </cols>
  <sheetData>
    <row r="1" spans="1:6" x14ac:dyDescent="0.25">
      <c r="A1" s="136" t="s">
        <v>178</v>
      </c>
      <c r="B1" s="136"/>
      <c r="C1" s="136"/>
      <c r="D1" s="136"/>
      <c r="E1" s="136"/>
      <c r="F1" t="s">
        <v>163</v>
      </c>
    </row>
    <row r="2" spans="1:6" ht="15" customHeight="1" x14ac:dyDescent="0.25">
      <c r="A2" s="136" t="s">
        <v>180</v>
      </c>
      <c r="B2" s="136"/>
      <c r="C2" s="136"/>
      <c r="D2" s="136"/>
      <c r="E2" s="136"/>
      <c r="F2" t="s">
        <v>163</v>
      </c>
    </row>
    <row r="3" spans="1:6" ht="105.75" customHeight="1" x14ac:dyDescent="0.25">
      <c r="A3" s="136" t="s">
        <v>181</v>
      </c>
      <c r="B3" s="136"/>
      <c r="C3" s="136"/>
      <c r="D3" s="136"/>
      <c r="E3" s="136"/>
      <c r="F3" t="s">
        <v>163</v>
      </c>
    </row>
    <row r="4" spans="1:6" ht="15" hidden="1" customHeight="1" x14ac:dyDescent="0.25">
      <c r="A4" s="30"/>
      <c r="B4" s="30"/>
      <c r="C4" s="30"/>
      <c r="D4" s="30"/>
      <c r="E4" s="30"/>
      <c r="F4" t="s">
        <v>163</v>
      </c>
    </row>
    <row r="5" spans="1:6" x14ac:dyDescent="0.25">
      <c r="A5" s="137" t="s">
        <v>118</v>
      </c>
      <c r="B5" s="138"/>
      <c r="C5" s="138"/>
      <c r="D5" s="138"/>
      <c r="E5" s="138"/>
      <c r="F5" t="s">
        <v>163</v>
      </c>
    </row>
    <row r="6" spans="1:6" ht="30" x14ac:dyDescent="0.25">
      <c r="A6" s="13" t="s">
        <v>179</v>
      </c>
      <c r="B6" s="89" t="s">
        <v>119</v>
      </c>
      <c r="C6" s="89" t="s">
        <v>114</v>
      </c>
      <c r="D6" s="89" t="s">
        <v>120</v>
      </c>
      <c r="E6" s="90" t="s">
        <v>121</v>
      </c>
      <c r="F6" t="s">
        <v>163</v>
      </c>
    </row>
    <row r="7" spans="1:6" x14ac:dyDescent="0.25">
      <c r="A7" s="91" t="s">
        <v>36</v>
      </c>
      <c r="B7" s="92">
        <f>+'Stmt of Cash Flows'!B111</f>
        <v>56</v>
      </c>
      <c r="C7" s="92">
        <f>+'Stmt of Cash Flows'!B113</f>
        <v>56</v>
      </c>
      <c r="D7" s="93">
        <v>3</v>
      </c>
      <c r="E7" s="97">
        <f>+C7/B7*D7</f>
        <v>3</v>
      </c>
      <c r="F7" t="s">
        <v>163</v>
      </c>
    </row>
    <row r="8" spans="1:6" x14ac:dyDescent="0.25">
      <c r="A8" s="91" t="s">
        <v>122</v>
      </c>
      <c r="B8" s="92">
        <f>+'Reconcilation worksheet'!B56</f>
        <v>24</v>
      </c>
      <c r="C8" s="92">
        <f>+'Reconcilation worksheet'!B58</f>
        <v>24</v>
      </c>
      <c r="D8" s="93">
        <v>2</v>
      </c>
      <c r="E8" s="97">
        <f>+C8/B8*D8</f>
        <v>2</v>
      </c>
      <c r="F8" t="s">
        <v>163</v>
      </c>
    </row>
    <row r="9" spans="1:6" hidden="1" x14ac:dyDescent="0.25">
      <c r="E9" s="5"/>
      <c r="F9" t="s">
        <v>163</v>
      </c>
    </row>
    <row r="10" spans="1:6" hidden="1" x14ac:dyDescent="0.25">
      <c r="E10" s="5"/>
      <c r="F10" t="s">
        <v>163</v>
      </c>
    </row>
    <row r="11" spans="1:6" hidden="1" x14ac:dyDescent="0.25">
      <c r="E11" s="98"/>
      <c r="F11" t="s">
        <v>163</v>
      </c>
    </row>
    <row r="12" spans="1:6" ht="15.75" thickBot="1" x14ac:dyDescent="0.3">
      <c r="A12" s="24" t="s">
        <v>12</v>
      </c>
      <c r="B12" s="94">
        <f>SUM(B6:B11)</f>
        <v>80</v>
      </c>
      <c r="C12" s="94">
        <f>SUM(C6:C11)</f>
        <v>80</v>
      </c>
      <c r="D12" s="95">
        <f>SUM(D6:D11)</f>
        <v>5</v>
      </c>
      <c r="E12" s="96">
        <f>SUM(E6:E11)</f>
        <v>5</v>
      </c>
      <c r="F12" t="s">
        <v>163</v>
      </c>
    </row>
    <row r="13" spans="1:6" ht="15.75" thickTop="1" x14ac:dyDescent="0.25">
      <c r="A13" s="61" t="s">
        <v>163</v>
      </c>
      <c r="B13" s="61" t="s">
        <v>163</v>
      </c>
      <c r="C13" s="61" t="s">
        <v>163</v>
      </c>
      <c r="D13" s="61" t="s">
        <v>163</v>
      </c>
      <c r="E13" s="61" t="s">
        <v>163</v>
      </c>
      <c r="F13" t="s">
        <v>163</v>
      </c>
    </row>
    <row r="14" spans="1:6" x14ac:dyDescent="0.25">
      <c r="F14" s="91"/>
    </row>
    <row r="15" spans="1:6" x14ac:dyDescent="0.25">
      <c r="F15" s="91"/>
    </row>
    <row r="16" spans="1:6" x14ac:dyDescent="0.25">
      <c r="F16" s="91"/>
    </row>
    <row r="17" spans="6:6" x14ac:dyDescent="0.25">
      <c r="F17" s="91"/>
    </row>
    <row r="18" spans="6:6" x14ac:dyDescent="0.25">
      <c r="F18" s="91"/>
    </row>
  </sheetData>
  <sheetProtection selectLockedCells="1"/>
  <mergeCells count="4">
    <mergeCell ref="A1:E1"/>
    <mergeCell ref="A2:E2"/>
    <mergeCell ref="A3:E3"/>
    <mergeCell ref="A5:E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4361C-D6C9-4B78-820D-16AC163EF6B9}">
  <dimension ref="A1:S116"/>
  <sheetViews>
    <sheetView workbookViewId="0">
      <pane ySplit="1" topLeftCell="A2" activePane="bottomLeft" state="frozen"/>
      <selection pane="bottomLeft" activeCell="A2" sqref="A2"/>
    </sheetView>
  </sheetViews>
  <sheetFormatPr defaultRowHeight="15" x14ac:dyDescent="0.25"/>
  <cols>
    <col min="1" max="1" width="38.85546875" customWidth="1"/>
    <col min="2" max="2" width="13" customWidth="1"/>
    <col min="3" max="3" width="12.85546875" customWidth="1"/>
    <col min="4" max="4" width="28.5703125" customWidth="1"/>
    <col min="5" max="5" width="16.7109375" customWidth="1"/>
    <col min="6" max="6" width="5.85546875" customWidth="1"/>
    <col min="7" max="9" width="3.5703125" customWidth="1"/>
    <col min="10" max="10" width="25" customWidth="1"/>
    <col min="11" max="11" width="10.5703125" customWidth="1"/>
    <col min="12" max="12" width="3.85546875" customWidth="1"/>
    <col min="13" max="13" width="40" customWidth="1"/>
    <col min="14" max="15" width="10.5703125" customWidth="1"/>
    <col min="16" max="18" width="9.140625" customWidth="1"/>
  </cols>
  <sheetData>
    <row r="1" spans="1:11" x14ac:dyDescent="0.25">
      <c r="A1" s="44" t="str">
        <f>"Monitor cell:  "&amp;ADDRESS(ROW(B113),COLUMN(B113),4)</f>
        <v>Monitor cell:  B113</v>
      </c>
      <c r="B1" s="44"/>
      <c r="C1" s="45">
        <f>+B113</f>
        <v>56</v>
      </c>
      <c r="G1" t="s">
        <v>173</v>
      </c>
      <c r="K1" s="51" t="s">
        <v>163</v>
      </c>
    </row>
    <row r="2" spans="1:11" x14ac:dyDescent="0.25">
      <c r="A2" s="44" t="str">
        <f>"answers: "&amp;B111</f>
        <v>answers: 56</v>
      </c>
      <c r="B2" s="44"/>
      <c r="C2" s="46"/>
      <c r="D2" s="47"/>
      <c r="E2" s="47"/>
      <c r="K2" s="51" t="s">
        <v>163</v>
      </c>
    </row>
    <row r="3" spans="1:11" x14ac:dyDescent="0.25">
      <c r="A3" s="48" t="s">
        <v>164</v>
      </c>
      <c r="B3" s="48"/>
      <c r="C3" s="49"/>
      <c r="D3" s="47"/>
      <c r="E3" s="47"/>
      <c r="K3" s="51" t="s">
        <v>163</v>
      </c>
    </row>
    <row r="4" spans="1:11" x14ac:dyDescent="0.25">
      <c r="A4" s="48" t="s">
        <v>177</v>
      </c>
      <c r="B4" s="48"/>
      <c r="C4" s="49"/>
      <c r="D4" s="50"/>
      <c r="E4" s="50"/>
      <c r="K4" s="51" t="s">
        <v>163</v>
      </c>
    </row>
    <row r="5" spans="1:11" x14ac:dyDescent="0.25">
      <c r="A5" s="44" t="str">
        <f>"Company name:  "&amp;lists!B1</f>
        <v>Company name:  Fox Corporation</v>
      </c>
      <c r="B5" s="44"/>
      <c r="K5" s="51" t="s">
        <v>163</v>
      </c>
    </row>
    <row r="6" spans="1:11" x14ac:dyDescent="0.25">
      <c r="A6" s="136" t="s">
        <v>162</v>
      </c>
      <c r="B6" s="136"/>
      <c r="C6" s="136"/>
      <c r="D6" s="136"/>
      <c r="E6" s="136"/>
      <c r="F6" s="136"/>
      <c r="G6" s="136"/>
      <c r="H6" s="136"/>
      <c r="I6" s="136"/>
      <c r="J6" s="136"/>
      <c r="K6" s="51" t="s">
        <v>163</v>
      </c>
    </row>
    <row r="7" spans="1:11" ht="15" customHeight="1" x14ac:dyDescent="0.25">
      <c r="A7" s="136" t="str">
        <f>"Here are comparative balance sheet accounts for "&amp;lists!B2&amp;" for the two years ended "&amp;lists!B6&amp;" "&amp;lists!B7&amp;", "&amp;lists!B3&amp;" and "&amp;lists!B3-1&amp;":"</f>
        <v>Here are comparative balance sheet accounts for Fox for the two years ended December 31, 2026 and 2025:</v>
      </c>
      <c r="B7" s="136"/>
      <c r="C7" s="136"/>
      <c r="D7" s="136"/>
      <c r="E7" s="136"/>
      <c r="F7" s="136"/>
      <c r="G7" s="136"/>
      <c r="H7" s="136"/>
      <c r="I7" s="136"/>
      <c r="J7" s="136"/>
      <c r="K7" s="51" t="s">
        <v>163</v>
      </c>
    </row>
    <row r="8" spans="1:11" ht="15" customHeight="1" x14ac:dyDescent="0.25">
      <c r="A8" s="55" t="s">
        <v>167</v>
      </c>
      <c r="B8" s="54" t="s">
        <v>168</v>
      </c>
      <c r="C8" s="57" t="s">
        <v>169</v>
      </c>
      <c r="D8" s="55" t="s">
        <v>166</v>
      </c>
      <c r="E8" s="54" t="s">
        <v>165</v>
      </c>
      <c r="F8" s="53" t="s">
        <v>163</v>
      </c>
      <c r="G8" s="53"/>
      <c r="H8" s="53"/>
      <c r="I8" s="53"/>
      <c r="J8" s="53"/>
      <c r="K8" s="51" t="s">
        <v>163</v>
      </c>
    </row>
    <row r="9" spans="1:11" ht="15" customHeight="1" x14ac:dyDescent="0.25">
      <c r="A9" s="3" t="str">
        <f>"Year2 "&amp;Information!A12</f>
        <v>Year2 Cash</v>
      </c>
      <c r="B9" s="3">
        <f>+Information!B12</f>
        <v>93000</v>
      </c>
      <c r="C9" s="57" t="s">
        <v>169</v>
      </c>
      <c r="D9" s="53" t="str">
        <f>"Year1 "&amp;Information!A12</f>
        <v>Year1 Cash</v>
      </c>
      <c r="E9" s="56">
        <f>+Information!C12</f>
        <v>85000</v>
      </c>
      <c r="F9" s="53" t="s">
        <v>163</v>
      </c>
      <c r="G9" s="53"/>
      <c r="H9" s="53"/>
      <c r="I9" s="53"/>
      <c r="J9" s="53"/>
      <c r="K9" s="51" t="s">
        <v>163</v>
      </c>
    </row>
    <row r="10" spans="1:11" ht="15" customHeight="1" x14ac:dyDescent="0.25">
      <c r="A10" s="3" t="str">
        <f>"Year2 "&amp;Information!A13</f>
        <v>Year2 Accounts Receivable</v>
      </c>
      <c r="B10" s="3">
        <f>+Information!B13</f>
        <v>95000</v>
      </c>
      <c r="C10" s="57" t="s">
        <v>169</v>
      </c>
      <c r="D10" s="53" t="str">
        <f>"Year1 "&amp;Information!A13</f>
        <v>Year1 Accounts Receivable</v>
      </c>
      <c r="E10" s="56">
        <f>+Information!C13</f>
        <v>37000</v>
      </c>
      <c r="F10" s="53" t="s">
        <v>163</v>
      </c>
      <c r="G10" s="53"/>
      <c r="H10" s="53"/>
      <c r="I10" s="53"/>
      <c r="J10" s="53"/>
      <c r="K10" s="51" t="s">
        <v>163</v>
      </c>
    </row>
    <row r="11" spans="1:11" x14ac:dyDescent="0.25">
      <c r="A11" s="3" t="str">
        <f>"Year2 "&amp;Information!A14</f>
        <v>Year2 Merchandise Inventory</v>
      </c>
      <c r="B11" s="3">
        <f>+Information!B14</f>
        <v>149000</v>
      </c>
      <c r="C11" s="57" t="s">
        <v>169</v>
      </c>
      <c r="D11" s="53" t="str">
        <f>"Year1 "&amp;Information!A14</f>
        <v>Year1 Merchandise Inventory</v>
      </c>
      <c r="E11" s="56">
        <f>+Information!C14</f>
        <v>145000</v>
      </c>
      <c r="F11" s="53" t="s">
        <v>163</v>
      </c>
      <c r="G11" s="53"/>
      <c r="H11" s="53"/>
      <c r="I11" s="53"/>
      <c r="J11" s="53"/>
      <c r="K11" s="51" t="s">
        <v>163</v>
      </c>
    </row>
    <row r="12" spans="1:11" x14ac:dyDescent="0.25">
      <c r="A12" s="3" t="str">
        <f>"Year2 "&amp;Information!A15</f>
        <v>Year2 space holder1</v>
      </c>
      <c r="B12" s="3">
        <f>+Information!B15</f>
        <v>0</v>
      </c>
      <c r="C12" s="57" t="s">
        <v>169</v>
      </c>
      <c r="D12" s="53" t="str">
        <f>"Year1 "&amp;Information!A15</f>
        <v>Year1 space holder1</v>
      </c>
      <c r="E12" s="56">
        <f>+Information!C15</f>
        <v>0</v>
      </c>
      <c r="F12" s="53" t="s">
        <v>163</v>
      </c>
      <c r="K12" s="51" t="s">
        <v>163</v>
      </c>
    </row>
    <row r="13" spans="1:11" x14ac:dyDescent="0.25">
      <c r="A13" s="3" t="str">
        <f>"Year2 "&amp;Information!A16</f>
        <v>Year2 space holder2</v>
      </c>
      <c r="B13" s="3">
        <f>+Information!B16</f>
        <v>0</v>
      </c>
      <c r="C13" s="57" t="s">
        <v>169</v>
      </c>
      <c r="D13" s="53" t="str">
        <f>"Year1 "&amp;Information!A16</f>
        <v>Year1 space holder2</v>
      </c>
      <c r="E13" s="56">
        <f>+Information!C16</f>
        <v>0</v>
      </c>
      <c r="F13" s="53" t="s">
        <v>163</v>
      </c>
      <c r="K13" s="51" t="s">
        <v>163</v>
      </c>
    </row>
    <row r="14" spans="1:11" x14ac:dyDescent="0.25">
      <c r="A14" s="3" t="str">
        <f>"Year2 "&amp;Information!A17</f>
        <v>Year2 Equipment</v>
      </c>
      <c r="B14" s="3">
        <f>+Information!B17</f>
        <v>298000</v>
      </c>
      <c r="C14" s="57" t="s">
        <v>169</v>
      </c>
      <c r="D14" s="53" t="str">
        <f>"Year1 "&amp;Information!A17</f>
        <v>Year1 Equipment</v>
      </c>
      <c r="E14" s="56">
        <f>+Information!C17</f>
        <v>355000</v>
      </c>
      <c r="F14" s="53" t="s">
        <v>163</v>
      </c>
      <c r="K14" s="51" t="s">
        <v>163</v>
      </c>
    </row>
    <row r="15" spans="1:11" x14ac:dyDescent="0.25">
      <c r="A15" s="3" t="str">
        <f>"Year2 "&amp;Information!A18</f>
        <v>Year2 Accum. Depr.</v>
      </c>
      <c r="B15" s="3">
        <f>+Information!B18</f>
        <v>-7000</v>
      </c>
      <c r="C15" s="57" t="s">
        <v>169</v>
      </c>
      <c r="D15" s="53" t="str">
        <f>"Year1 "&amp;Information!A18</f>
        <v>Year1 Accum. Depr.</v>
      </c>
      <c r="E15" s="56">
        <f>+Information!C18</f>
        <v>-108000</v>
      </c>
      <c r="F15" s="53" t="s">
        <v>163</v>
      </c>
      <c r="K15" s="51" t="s">
        <v>163</v>
      </c>
    </row>
    <row r="16" spans="1:11" x14ac:dyDescent="0.25">
      <c r="A16" s="3" t="str">
        <f>"Year2 "&amp;Information!A22</f>
        <v>Year2 Accounts Payable</v>
      </c>
      <c r="B16" s="3">
        <f>+Information!B22</f>
        <v>56000</v>
      </c>
      <c r="C16" s="57" t="s">
        <v>169</v>
      </c>
      <c r="D16" s="53" t="str">
        <f>"Year1 "&amp;Information!A22</f>
        <v>Year1 Accounts Payable</v>
      </c>
      <c r="E16" s="3">
        <f>+Information!C22</f>
        <v>142000</v>
      </c>
      <c r="F16" s="53" t="s">
        <v>163</v>
      </c>
      <c r="K16" s="51" t="s">
        <v>163</v>
      </c>
    </row>
    <row r="17" spans="1:11" x14ac:dyDescent="0.25">
      <c r="A17" s="3" t="str">
        <f>"Year2 "&amp;Information!A23</f>
        <v>Year2 Wages Payable</v>
      </c>
      <c r="B17" s="3">
        <f>+Information!B23</f>
        <v>39500</v>
      </c>
      <c r="C17" s="57" t="s">
        <v>169</v>
      </c>
      <c r="D17" s="53" t="str">
        <f>"Year1 "&amp;Information!A23</f>
        <v>Year1 Wages Payable</v>
      </c>
      <c r="E17" s="3">
        <f>+Information!C23</f>
        <v>37000</v>
      </c>
      <c r="F17" s="53" t="s">
        <v>163</v>
      </c>
      <c r="K17" s="51" t="s">
        <v>163</v>
      </c>
    </row>
    <row r="18" spans="1:11" x14ac:dyDescent="0.25">
      <c r="A18" s="3" t="str">
        <f>"Year2 "&amp;Information!A24</f>
        <v>Year2 Short-Term Note Payable</v>
      </c>
      <c r="B18" s="3">
        <f>+Information!B24</f>
        <v>96000</v>
      </c>
      <c r="C18" s="57" t="s">
        <v>169</v>
      </c>
      <c r="D18" s="53" t="str">
        <f>"Year1 "&amp;Information!A24</f>
        <v>Year1 Short-Term Note Payable</v>
      </c>
      <c r="E18" s="3">
        <f>+Information!C24</f>
        <v>91000</v>
      </c>
      <c r="F18" s="53" t="s">
        <v>163</v>
      </c>
      <c r="K18" s="51" t="s">
        <v>163</v>
      </c>
    </row>
    <row r="19" spans="1:11" x14ac:dyDescent="0.25">
      <c r="A19" s="3" t="str">
        <f>"Year2 "&amp;Information!A25</f>
        <v>Year2 Long-term Note Payable</v>
      </c>
      <c r="B19" s="3">
        <f>+Information!B25</f>
        <v>156000</v>
      </c>
      <c r="C19" s="57" t="s">
        <v>169</v>
      </c>
      <c r="D19" s="53" t="str">
        <f>"Year1 "&amp;Information!A25</f>
        <v>Year1 Long-term Note Payable</v>
      </c>
      <c r="E19" s="3">
        <f>+Information!C25</f>
        <v>0</v>
      </c>
      <c r="F19" s="53" t="s">
        <v>163</v>
      </c>
      <c r="K19" s="51" t="s">
        <v>163</v>
      </c>
    </row>
    <row r="20" spans="1:11" x14ac:dyDescent="0.25">
      <c r="A20" s="3" t="str">
        <f>"Year2 "&amp;Information!A26</f>
        <v>Year2 Common Stock</v>
      </c>
      <c r="B20" s="3">
        <f>+Information!B26</f>
        <v>262000</v>
      </c>
      <c r="C20" s="57" t="s">
        <v>169</v>
      </c>
      <c r="D20" s="53" t="str">
        <f>"Year1 "&amp;Information!A26</f>
        <v>Year1 Common Stock</v>
      </c>
      <c r="E20" s="3">
        <f>+Information!C26</f>
        <v>185000</v>
      </c>
      <c r="F20" s="53" t="s">
        <v>163</v>
      </c>
      <c r="K20" s="51" t="s">
        <v>163</v>
      </c>
    </row>
    <row r="21" spans="1:11" x14ac:dyDescent="0.25">
      <c r="A21" s="3" t="str">
        <f>"Year2 "&amp;Information!A27</f>
        <v>Year2 Retained Earnings</v>
      </c>
      <c r="B21" s="3">
        <f>+Information!B27</f>
        <v>18500</v>
      </c>
      <c r="C21" s="57" t="s">
        <v>169</v>
      </c>
      <c r="D21" s="53" t="str">
        <f>"Year1 "&amp;Information!A27</f>
        <v>Year1 Retained Earnings</v>
      </c>
      <c r="E21" s="3">
        <f>+Information!C27</f>
        <v>59000</v>
      </c>
      <c r="F21" s="53" t="s">
        <v>163</v>
      </c>
      <c r="K21" s="51" t="s">
        <v>163</v>
      </c>
    </row>
    <row r="22" spans="1:11" x14ac:dyDescent="0.25">
      <c r="A22" s="57" t="s">
        <v>163</v>
      </c>
      <c r="B22" s="57" t="s">
        <v>163</v>
      </c>
      <c r="C22" s="57" t="s">
        <v>163</v>
      </c>
      <c r="D22" s="57" t="s">
        <v>163</v>
      </c>
      <c r="E22" s="57" t="s">
        <v>163</v>
      </c>
      <c r="F22" s="53" t="s">
        <v>163</v>
      </c>
      <c r="K22" s="51" t="s">
        <v>163</v>
      </c>
    </row>
    <row r="23" spans="1:11" x14ac:dyDescent="0.25">
      <c r="A23" s="3" t="s">
        <v>170</v>
      </c>
      <c r="B23" s="59" t="s">
        <v>169</v>
      </c>
      <c r="C23" s="57" t="s">
        <v>169</v>
      </c>
      <c r="K23" s="51" t="s">
        <v>163</v>
      </c>
    </row>
    <row r="24" spans="1:11" x14ac:dyDescent="0.25">
      <c r="A24" s="3" t="str">
        <f>+Information!E9</f>
        <v>Sales</v>
      </c>
      <c r="B24" s="3">
        <f>+Information!G9</f>
        <v>623600</v>
      </c>
      <c r="C24" s="57" t="s">
        <v>163</v>
      </c>
      <c r="K24" s="51" t="s">
        <v>163</v>
      </c>
    </row>
    <row r="25" spans="1:11" x14ac:dyDescent="0.25">
      <c r="A25" s="3" t="str">
        <f>+Information!E10</f>
        <v>Cost of Goods Sold</v>
      </c>
      <c r="B25" s="3">
        <f>+Information!G10</f>
        <v>296000</v>
      </c>
      <c r="C25" s="57" t="s">
        <v>163</v>
      </c>
      <c r="K25" s="51" t="s">
        <v>163</v>
      </c>
    </row>
    <row r="26" spans="1:11" x14ac:dyDescent="0.25">
      <c r="A26" s="3" t="str">
        <f>+Information!E11</f>
        <v>Gross Margin</v>
      </c>
      <c r="B26" s="3">
        <f>+Information!G11</f>
        <v>327600</v>
      </c>
      <c r="C26" s="57" t="s">
        <v>163</v>
      </c>
      <c r="K26" s="51" t="s">
        <v>163</v>
      </c>
    </row>
    <row r="27" spans="1:11" x14ac:dyDescent="0.25">
      <c r="A27" s="3" t="str">
        <f>+Information!E12</f>
        <v>Depreciation Expense</v>
      </c>
      <c r="B27" s="3">
        <f>+Information!G12</f>
        <v>87000</v>
      </c>
      <c r="C27" s="57" t="s">
        <v>163</v>
      </c>
      <c r="K27" s="51" t="s">
        <v>163</v>
      </c>
    </row>
    <row r="28" spans="1:11" x14ac:dyDescent="0.25">
      <c r="A28" s="3" t="str">
        <f>+Information!E13</f>
        <v>Other Operating Expenses</v>
      </c>
      <c r="B28" s="3">
        <f>+Information!G13</f>
        <v>158000</v>
      </c>
      <c r="C28" s="57" t="s">
        <v>163</v>
      </c>
      <c r="K28" s="51" t="s">
        <v>163</v>
      </c>
    </row>
    <row r="29" spans="1:11" x14ac:dyDescent="0.25">
      <c r="A29" s="3" t="str">
        <f>+Information!E14</f>
        <v>Income from Operations</v>
      </c>
      <c r="B29" s="3">
        <f>+Information!G14</f>
        <v>82600</v>
      </c>
      <c r="C29" s="57" t="s">
        <v>163</v>
      </c>
      <c r="K29" s="51" t="s">
        <v>163</v>
      </c>
    </row>
    <row r="30" spans="1:11" x14ac:dyDescent="0.25">
      <c r="A30" s="3" t="str">
        <f>+Information!E15</f>
        <v>Other Income (Expenses):</v>
      </c>
      <c r="B30" s="58" t="s">
        <v>171</v>
      </c>
      <c r="C30" s="57" t="s">
        <v>163</v>
      </c>
      <c r="K30" s="51" t="s">
        <v>163</v>
      </c>
    </row>
    <row r="31" spans="1:11" x14ac:dyDescent="0.25">
      <c r="A31" s="3" t="str">
        <f>+Information!E16</f>
        <v>Space holder3</v>
      </c>
      <c r="B31" s="3">
        <f>+Information!G16</f>
        <v>0</v>
      </c>
      <c r="C31" s="57" t="s">
        <v>163</v>
      </c>
      <c r="K31" s="51" t="s">
        <v>163</v>
      </c>
    </row>
    <row r="32" spans="1:11" x14ac:dyDescent="0.25">
      <c r="A32" s="3" t="str">
        <f>+Information!E17</f>
        <v>Space holder4</v>
      </c>
      <c r="B32" s="3">
        <f>+Information!G17</f>
        <v>0</v>
      </c>
      <c r="C32" s="57" t="s">
        <v>163</v>
      </c>
      <c r="K32" s="51" t="s">
        <v>163</v>
      </c>
    </row>
    <row r="33" spans="1:11" x14ac:dyDescent="0.25">
      <c r="A33" s="3" t="str">
        <f>+Information!E18</f>
        <v>Loss on sale of Equipment</v>
      </c>
      <c r="B33" s="3">
        <f>+Information!G18</f>
        <v>-69000</v>
      </c>
      <c r="C33" s="57" t="s">
        <v>163</v>
      </c>
      <c r="K33" s="51" t="s">
        <v>163</v>
      </c>
    </row>
    <row r="34" spans="1:11" x14ac:dyDescent="0.25">
      <c r="A34" s="3" t="str">
        <f>+Information!E19</f>
        <v>Income before Income Taxes</v>
      </c>
      <c r="B34" s="3">
        <f>+Information!G19</f>
        <v>13600</v>
      </c>
      <c r="C34" s="57" t="s">
        <v>163</v>
      </c>
      <c r="K34" s="51" t="s">
        <v>163</v>
      </c>
    </row>
    <row r="35" spans="1:11" x14ac:dyDescent="0.25">
      <c r="A35" s="3" t="str">
        <f>+Information!E20</f>
        <v>Income Taxes Expense</v>
      </c>
      <c r="B35" s="3">
        <f>+Information!G20</f>
        <v>4100</v>
      </c>
      <c r="C35" s="57" t="s">
        <v>163</v>
      </c>
      <c r="K35" s="51" t="s">
        <v>163</v>
      </c>
    </row>
    <row r="36" spans="1:11" x14ac:dyDescent="0.25">
      <c r="A36" s="3" t="str">
        <f>+Information!E21</f>
        <v>Net Income</v>
      </c>
      <c r="B36" s="3">
        <f>+Information!G21</f>
        <v>9500</v>
      </c>
      <c r="C36" s="57" t="s">
        <v>163</v>
      </c>
      <c r="K36" s="51" t="s">
        <v>163</v>
      </c>
    </row>
    <row r="37" spans="1:11" x14ac:dyDescent="0.25">
      <c r="A37" s="57" t="s">
        <v>163</v>
      </c>
      <c r="B37" s="57" t="s">
        <v>163</v>
      </c>
      <c r="C37" s="57" t="s">
        <v>163</v>
      </c>
      <c r="K37" s="51" t="s">
        <v>163</v>
      </c>
    </row>
    <row r="38" spans="1:11" x14ac:dyDescent="0.25">
      <c r="A38" s="3" t="s">
        <v>172</v>
      </c>
      <c r="B38" s="59" t="s">
        <v>169</v>
      </c>
      <c r="C38" s="57" t="s">
        <v>163</v>
      </c>
      <c r="K38" s="51" t="s">
        <v>163</v>
      </c>
    </row>
    <row r="39" spans="1:11" x14ac:dyDescent="0.25">
      <c r="A39" s="3" t="str">
        <f>"z_"&amp;Information!E24&amp;"_"&amp;Information!F24</f>
        <v>z_A._Cash paid for other operating expenses</v>
      </c>
      <c r="B39" s="3">
        <f>+Information!G24</f>
        <v>158000</v>
      </c>
      <c r="C39" s="57" t="s">
        <v>163</v>
      </c>
      <c r="K39" s="51" t="s">
        <v>163</v>
      </c>
    </row>
    <row r="40" spans="1:11" x14ac:dyDescent="0.25">
      <c r="A40" s="3" t="str">
        <f>"z_"&amp;Information!E25&amp;"_"&amp;Information!F25</f>
        <v>z_B._Cash received from borrowing on short-term note payable</v>
      </c>
      <c r="B40" s="3">
        <f>+Information!G25</f>
        <v>5000</v>
      </c>
      <c r="C40" s="57" t="s">
        <v>163</v>
      </c>
      <c r="K40" s="51" t="s">
        <v>163</v>
      </c>
    </row>
    <row r="41" spans="1:11" x14ac:dyDescent="0.25">
      <c r="A41" s="3" t="str">
        <f>"z_"&amp;Information!E26&amp;"_"&amp;Information!F26</f>
        <v>z_C._Acquired equipment by signing long-term note payable</v>
      </c>
      <c r="B41" s="3">
        <f>+Information!G26</f>
        <v>156000</v>
      </c>
      <c r="C41" s="57" t="s">
        <v>163</v>
      </c>
      <c r="K41" s="51" t="s">
        <v>163</v>
      </c>
    </row>
    <row r="42" spans="1:11" x14ac:dyDescent="0.25">
      <c r="A42" s="3" t="str">
        <f>"z_"&amp;Information!E27&amp;"_"&amp;Information!F27</f>
        <v>z_D._Cash dividends paid</v>
      </c>
      <c r="B42" s="3">
        <f>+Information!G27</f>
        <v>50000</v>
      </c>
      <c r="C42" s="57" t="s">
        <v>163</v>
      </c>
      <c r="K42" s="51" t="s">
        <v>163</v>
      </c>
    </row>
    <row r="43" spans="1:11" x14ac:dyDescent="0.25">
      <c r="A43" s="3" t="str">
        <f>"z_"&amp;Information!E28&amp;"_"&amp;Information!F28</f>
        <v>z_E._Cash received from sale of Fox Corp's common stock</v>
      </c>
      <c r="B43" s="3">
        <f>+Information!G28</f>
        <v>77000</v>
      </c>
      <c r="C43" s="57" t="s">
        <v>163</v>
      </c>
      <c r="K43" s="51" t="s">
        <v>163</v>
      </c>
    </row>
    <row r="44" spans="1:11" x14ac:dyDescent="0.25">
      <c r="A44" s="3" t="str">
        <f>"z_"&amp;Information!E29&amp;"_"&amp;Information!F29</f>
        <v>z_F._Cash paid for equipment</v>
      </c>
      <c r="B44" s="3">
        <f>+Information!G29</f>
        <v>82000</v>
      </c>
      <c r="C44" s="57" t="s">
        <v>163</v>
      </c>
      <c r="K44" s="51" t="s">
        <v>163</v>
      </c>
    </row>
    <row r="45" spans="1:11" x14ac:dyDescent="0.25">
      <c r="A45" s="3" t="str">
        <f>"z_"&amp;Information!E30&amp;"_"&amp;Information!F30</f>
        <v>z_G._Cash paid for merchandise inventory</v>
      </c>
      <c r="B45" s="3">
        <f>+Information!G30</f>
        <v>386000</v>
      </c>
      <c r="C45" s="57" t="s">
        <v>163</v>
      </c>
      <c r="K45" s="51" t="s">
        <v>163</v>
      </c>
    </row>
    <row r="46" spans="1:11" x14ac:dyDescent="0.25">
      <c r="A46" s="3" t="str">
        <f>"z_"&amp;Information!E31&amp;"_"&amp;Information!F31</f>
        <v>z_H._Cash received from customers</v>
      </c>
      <c r="B46" s="3">
        <f>+Information!G31</f>
        <v>565600</v>
      </c>
      <c r="C46" s="57" t="s">
        <v>163</v>
      </c>
      <c r="K46" s="51" t="s">
        <v>163</v>
      </c>
    </row>
    <row r="47" spans="1:11" x14ac:dyDescent="0.25">
      <c r="A47" s="3" t="str">
        <f>"z_"&amp;Information!E32&amp;"_"&amp;Information!F32</f>
        <v>z_I._Cash received from sale of equipment</v>
      </c>
      <c r="B47" s="3">
        <f>+Information!G32</f>
        <v>38000</v>
      </c>
      <c r="C47" s="57" t="s">
        <v>163</v>
      </c>
      <c r="K47" s="51" t="s">
        <v>163</v>
      </c>
    </row>
    <row r="48" spans="1:11" x14ac:dyDescent="0.25">
      <c r="A48" s="3" t="str">
        <f>"z_"&amp;Information!E33&amp;"_"&amp;Information!F33</f>
        <v>z_J._Cash paid for income taxes</v>
      </c>
      <c r="B48" s="3">
        <f>+Information!G33</f>
        <v>1600</v>
      </c>
      <c r="C48" s="57" t="s">
        <v>163</v>
      </c>
      <c r="K48" s="51" t="s">
        <v>163</v>
      </c>
    </row>
    <row r="49" spans="1:19" x14ac:dyDescent="0.25">
      <c r="A49" s="3" t="str">
        <f>"z_"&amp;Information!E34&amp;"_"&amp;Information!F34</f>
        <v>z_K._Space holder5</v>
      </c>
      <c r="B49" s="3">
        <f>+Information!G34</f>
        <v>0</v>
      </c>
      <c r="C49" s="57" t="s">
        <v>163</v>
      </c>
      <c r="K49" s="51" t="s">
        <v>163</v>
      </c>
    </row>
    <row r="50" spans="1:19" x14ac:dyDescent="0.25">
      <c r="A50" s="3" t="str">
        <f>"z_"&amp;Information!E35&amp;"_"&amp;Information!F35</f>
        <v>z_L._Space holder6</v>
      </c>
      <c r="B50" s="3">
        <f>+Information!G35</f>
        <v>0</v>
      </c>
      <c r="C50" s="57" t="s">
        <v>163</v>
      </c>
      <c r="K50" s="51" t="s">
        <v>163</v>
      </c>
    </row>
    <row r="51" spans="1:19" x14ac:dyDescent="0.25">
      <c r="A51" s="57" t="s">
        <v>163</v>
      </c>
      <c r="B51" s="57" t="s">
        <v>163</v>
      </c>
      <c r="C51" s="57" t="s">
        <v>163</v>
      </c>
      <c r="K51" s="51" t="s">
        <v>163</v>
      </c>
    </row>
    <row r="52" spans="1:19" x14ac:dyDescent="0.25">
      <c r="A52" s="139" t="s">
        <v>174</v>
      </c>
      <c r="B52" s="136"/>
      <c r="C52" s="136"/>
      <c r="D52" s="136"/>
      <c r="E52" s="136"/>
      <c r="F52" s="136"/>
      <c r="G52" s="136"/>
      <c r="H52" s="136"/>
      <c r="I52" s="136"/>
      <c r="J52" s="136"/>
      <c r="K52" s="51" t="s">
        <v>163</v>
      </c>
    </row>
    <row r="53" spans="1:19" x14ac:dyDescent="0.25">
      <c r="A53" s="139" t="str">
        <f>"1.  Using the data and template provided, prepare the body of the statement of cash flows for "&amp;lists!B1&amp;", using the direct method."</f>
        <v>1.  Using the data and template provided, prepare the body of the statement of cash flows for Fox Corporation, using the direct method.</v>
      </c>
      <c r="B53" s="136"/>
      <c r="C53" s="136"/>
      <c r="D53" s="136"/>
      <c r="E53" s="136"/>
      <c r="F53" s="136"/>
      <c r="G53" s="136"/>
      <c r="H53" s="136"/>
      <c r="I53" s="136"/>
      <c r="J53" s="136"/>
      <c r="K53" s="51" t="s">
        <v>163</v>
      </c>
    </row>
    <row r="54" spans="1:19" x14ac:dyDescent="0.25">
      <c r="A54" s="139" t="s">
        <v>175</v>
      </c>
      <c r="B54" s="136"/>
      <c r="C54" s="136"/>
      <c r="D54" s="136"/>
      <c r="E54" s="136"/>
      <c r="F54" s="136"/>
      <c r="G54" s="136"/>
      <c r="H54" s="136"/>
      <c r="I54" s="136"/>
      <c r="J54" s="136"/>
      <c r="K54" s="51" t="s">
        <v>163</v>
      </c>
    </row>
    <row r="55" spans="1:19" x14ac:dyDescent="0.25">
      <c r="A55" s="139" t="s">
        <v>176</v>
      </c>
      <c r="B55" s="136"/>
      <c r="C55" s="136"/>
      <c r="D55" s="136"/>
      <c r="E55" s="136"/>
      <c r="F55" s="136"/>
      <c r="G55" s="136"/>
      <c r="H55" s="136"/>
      <c r="I55" s="136"/>
      <c r="J55" s="136"/>
      <c r="K55" s="51" t="s">
        <v>163</v>
      </c>
    </row>
    <row r="56" spans="1:19" x14ac:dyDescent="0.25">
      <c r="A56" s="136" t="s">
        <v>186</v>
      </c>
      <c r="B56" s="136"/>
      <c r="C56" s="136"/>
      <c r="D56" s="136"/>
      <c r="E56" s="136"/>
      <c r="F56" s="136"/>
      <c r="G56" s="136"/>
      <c r="H56" s="136"/>
      <c r="I56" s="136"/>
      <c r="J56" s="136"/>
      <c r="K56" s="51" t="s">
        <v>163</v>
      </c>
    </row>
    <row r="57" spans="1:19" hidden="1" x14ac:dyDescent="0.25">
      <c r="A57" s="136"/>
      <c r="B57" s="136"/>
      <c r="C57" s="136"/>
      <c r="D57" s="136"/>
      <c r="E57" s="136"/>
      <c r="F57" s="136"/>
      <c r="G57" s="136"/>
      <c r="H57" s="136"/>
      <c r="I57" s="136"/>
      <c r="J57" s="136"/>
      <c r="K57" s="51" t="s">
        <v>163</v>
      </c>
    </row>
    <row r="58" spans="1:19" ht="15" hidden="1" customHeight="1" x14ac:dyDescent="0.25">
      <c r="A58" s="136"/>
      <c r="B58" s="136"/>
      <c r="C58" s="136"/>
      <c r="D58" s="136"/>
      <c r="E58" s="136"/>
      <c r="F58" s="136"/>
      <c r="G58" s="136"/>
      <c r="H58" s="136"/>
      <c r="I58" s="136"/>
      <c r="J58" s="136"/>
      <c r="K58" s="51" t="s">
        <v>163</v>
      </c>
      <c r="L58" s="29"/>
      <c r="M58" s="29"/>
      <c r="N58" s="29"/>
      <c r="O58" s="29"/>
      <c r="P58" s="29"/>
      <c r="Q58" s="29"/>
      <c r="R58" s="29"/>
      <c r="S58" s="29"/>
    </row>
    <row r="59" spans="1:19" hidden="1" x14ac:dyDescent="0.25">
      <c r="A59" s="136"/>
      <c r="B59" s="136"/>
      <c r="C59" s="136"/>
      <c r="D59" s="136"/>
      <c r="E59" s="136"/>
      <c r="F59" s="136"/>
      <c r="G59" s="136"/>
      <c r="H59" s="136"/>
      <c r="I59" s="136"/>
      <c r="J59" s="136"/>
      <c r="K59" s="29"/>
      <c r="L59" s="29"/>
      <c r="M59" s="29"/>
      <c r="N59" s="29"/>
      <c r="O59" s="29"/>
      <c r="P59" s="29"/>
      <c r="Q59" s="29"/>
      <c r="R59" s="29"/>
      <c r="S59" s="29"/>
    </row>
    <row r="60" spans="1:19" hidden="1" x14ac:dyDescent="0.25">
      <c r="A60" s="136"/>
      <c r="B60" s="136"/>
      <c r="C60" s="136"/>
      <c r="D60" s="136"/>
      <c r="E60" s="136"/>
      <c r="F60" s="136"/>
      <c r="G60" s="136"/>
      <c r="H60" s="136"/>
      <c r="I60" s="136"/>
      <c r="J60" s="136"/>
      <c r="K60" s="39"/>
      <c r="L60" s="39"/>
      <c r="M60" s="39"/>
      <c r="N60" s="39"/>
      <c r="O60" s="39"/>
      <c r="P60" s="39"/>
      <c r="Q60" s="29"/>
      <c r="R60" s="29"/>
      <c r="S60" s="29"/>
    </row>
    <row r="61" spans="1:19" x14ac:dyDescent="0.25">
      <c r="A61" s="61" t="s">
        <v>163</v>
      </c>
      <c r="B61" s="61" t="s">
        <v>163</v>
      </c>
      <c r="C61" s="61" t="s">
        <v>163</v>
      </c>
      <c r="D61" s="62" t="s">
        <v>163</v>
      </c>
      <c r="E61" s="29"/>
      <c r="F61" s="40" t="s">
        <v>116</v>
      </c>
      <c r="G61" s="40"/>
      <c r="H61" s="40"/>
      <c r="I61" s="39"/>
      <c r="J61" s="39"/>
      <c r="K61" s="39"/>
      <c r="L61" s="39"/>
      <c r="M61" s="40" t="s">
        <v>117</v>
      </c>
      <c r="N61" s="40"/>
      <c r="O61" s="40"/>
      <c r="P61" s="39"/>
      <c r="Q61" s="29"/>
      <c r="R61" s="29"/>
      <c r="S61" s="29"/>
    </row>
    <row r="62" spans="1:19" x14ac:dyDescent="0.25">
      <c r="A62" s="141" t="s">
        <v>195</v>
      </c>
      <c r="B62" s="142"/>
      <c r="C62" s="143"/>
      <c r="D62" s="62" t="s">
        <v>163</v>
      </c>
      <c r="E62" s="29"/>
      <c r="F62" s="39">
        <f>IF(A62&lt;&gt;M62,1,0)</f>
        <v>0</v>
      </c>
      <c r="G62" s="39"/>
      <c r="H62" s="39"/>
      <c r="I62" s="39"/>
      <c r="J62" s="39"/>
      <c r="K62" s="39"/>
      <c r="L62" s="39"/>
      <c r="M62" s="140" t="str">
        <f>+lists!B1</f>
        <v>Fox Corporation</v>
      </c>
      <c r="N62" s="140"/>
      <c r="O62" s="140"/>
      <c r="P62" s="39"/>
      <c r="Q62" s="29"/>
      <c r="R62" s="29"/>
      <c r="S62" s="29"/>
    </row>
    <row r="63" spans="1:19" x14ac:dyDescent="0.25">
      <c r="A63" s="144" t="s">
        <v>36</v>
      </c>
      <c r="B63" s="145"/>
      <c r="C63" s="146"/>
      <c r="D63" s="62" t="s">
        <v>163</v>
      </c>
      <c r="E63" s="29"/>
      <c r="F63" s="39">
        <f>IF(A63&lt;&gt;M63,1,0)</f>
        <v>0</v>
      </c>
      <c r="G63" s="39"/>
      <c r="H63" s="39"/>
      <c r="I63" s="39"/>
      <c r="J63" s="39"/>
      <c r="K63" s="39"/>
      <c r="L63" s="39"/>
      <c r="M63" s="140" t="s">
        <v>36</v>
      </c>
      <c r="N63" s="140"/>
      <c r="O63" s="140"/>
      <c r="P63" s="39"/>
      <c r="Q63" s="29"/>
      <c r="R63" s="29"/>
      <c r="S63" s="29"/>
    </row>
    <row r="64" spans="1:19" x14ac:dyDescent="0.25">
      <c r="A64" s="147" t="s">
        <v>242</v>
      </c>
      <c r="B64" s="148"/>
      <c r="C64" s="149"/>
      <c r="D64" s="62" t="s">
        <v>163</v>
      </c>
      <c r="E64" s="29"/>
      <c r="F64" s="39">
        <f>IF(A64&lt;&gt;M64,1,0)</f>
        <v>0</v>
      </c>
      <c r="G64" s="39"/>
      <c r="H64" s="39"/>
      <c r="I64" s="39"/>
      <c r="J64" s="40" t="s">
        <v>115</v>
      </c>
      <c r="K64" s="40"/>
      <c r="L64" s="39"/>
      <c r="M64" s="140" t="s">
        <v>242</v>
      </c>
      <c r="N64" s="140"/>
      <c r="O64" s="140"/>
      <c r="P64" s="39"/>
      <c r="Q64" s="29"/>
      <c r="R64" s="29"/>
      <c r="S64" s="29"/>
    </row>
    <row r="65" spans="1:19" hidden="1" x14ac:dyDescent="0.25">
      <c r="A65" s="108"/>
      <c r="B65" s="108"/>
      <c r="C65" s="108"/>
      <c r="D65" s="62" t="s">
        <v>163</v>
      </c>
      <c r="E65" s="29"/>
      <c r="F65" s="39"/>
      <c r="G65" s="39"/>
      <c r="H65" s="39"/>
      <c r="I65" s="39"/>
      <c r="J65" s="39"/>
      <c r="K65" s="39"/>
      <c r="L65" s="39"/>
      <c r="M65" s="39"/>
      <c r="N65" s="39"/>
      <c r="O65" s="39"/>
      <c r="P65" s="39"/>
      <c r="Q65" s="29"/>
      <c r="R65" s="29"/>
      <c r="S65" s="29"/>
    </row>
    <row r="66" spans="1:19" x14ac:dyDescent="0.25">
      <c r="A66" s="109" t="s">
        <v>37</v>
      </c>
      <c r="B66" s="110" t="s">
        <v>169</v>
      </c>
      <c r="C66" s="110" t="s">
        <v>169</v>
      </c>
      <c r="D66" s="62" t="s">
        <v>163</v>
      </c>
      <c r="E66" s="29"/>
      <c r="F66" s="39">
        <f>IF(A66&lt;&gt;M66,1,0)</f>
        <v>0</v>
      </c>
      <c r="G66" s="39"/>
      <c r="H66" s="39"/>
      <c r="I66" s="39"/>
      <c r="J66" s="39"/>
      <c r="K66" s="39"/>
      <c r="L66" s="39"/>
      <c r="M66" s="39" t="s">
        <v>37</v>
      </c>
      <c r="N66" s="39"/>
      <c r="O66" s="39"/>
      <c r="P66" s="39"/>
      <c r="Q66" s="29"/>
      <c r="R66" s="29"/>
      <c r="S66" s="29"/>
    </row>
    <row r="67" spans="1:19" x14ac:dyDescent="0.25">
      <c r="A67" s="111" t="s">
        <v>28</v>
      </c>
      <c r="B67" s="112">
        <f>z_A._Cash_paid_for_other_operating_expenses*-1</f>
        <v>-158000</v>
      </c>
      <c r="C67" s="110" t="s">
        <v>169</v>
      </c>
      <c r="D67" s="62" t="s">
        <v>163</v>
      </c>
      <c r="E67" s="29"/>
      <c r="F67" s="39">
        <f>IF(AND(M67="",A67=""),0,IF(A67&lt;&gt;J67,1,0))</f>
        <v>0</v>
      </c>
      <c r="G67" s="39">
        <f>IF(AND(N67="",B67=""),0,IF(B67&lt;&gt;K67,1,0))</f>
        <v>0</v>
      </c>
      <c r="H67" s="39"/>
      <c r="I67" s="39"/>
      <c r="J67" s="39" t="str">
        <f>IF(AND(A67="",M67&lt;&gt;""),".",IF(AND(A67&lt;&gt;"",M67=""),".",IF(OR(A67=M67,A67=M68,A67=M69,A67=M70,A67=M71,A67=M72),A67,".")))</f>
        <v>Cash paid for other operating expenses</v>
      </c>
      <c r="K67" s="41">
        <f>IF(J67=".",".",IF(J67=M67,N67,IF(J67=M68,N68,IF(J67=M69,N69,IF(J67=M70,N70,IF(J67=M71,N71,IF(J67=M72,N72,".")))))))</f>
        <v>-158000</v>
      </c>
      <c r="L67" s="39"/>
      <c r="M67" s="39" t="s">
        <v>28</v>
      </c>
      <c r="N67" s="41">
        <f>-lists!O20</f>
        <v>-158000</v>
      </c>
      <c r="O67" s="41"/>
      <c r="P67" s="39"/>
      <c r="Q67" s="29"/>
      <c r="R67" s="29"/>
      <c r="S67" s="29"/>
    </row>
    <row r="68" spans="1:19" x14ac:dyDescent="0.25">
      <c r="A68" s="111" t="s">
        <v>21</v>
      </c>
      <c r="B68" s="112">
        <f>z_G._Cash_paid_for_merchandise_inventory*-1</f>
        <v>-386000</v>
      </c>
      <c r="C68" s="110" t="s">
        <v>169</v>
      </c>
      <c r="D68" s="62" t="s">
        <v>163</v>
      </c>
      <c r="E68" s="29"/>
      <c r="F68" s="39">
        <f t="shared" ref="F68:G72" si="0">IF(AND(M68="",A68=""),0,IF(A68&lt;&gt;J68,1,0))</f>
        <v>0</v>
      </c>
      <c r="G68" s="39">
        <f t="shared" si="0"/>
        <v>0</v>
      </c>
      <c r="H68" s="39"/>
      <c r="I68" s="39"/>
      <c r="J68" s="39" t="str">
        <f>IF(A68=A67,".",IF(AND(A68="",M68&lt;&gt;""),".",IF(AND(A68&lt;&gt;"",M68=""),".",IF(OR(A68=M67,A68=M68,A68=M69,A68=M70,A68=M71,A68=M72),A68,"."))))</f>
        <v>Cash paid for merchandise inventory</v>
      </c>
      <c r="K68" s="41">
        <f>IF(J68=".",".",IF(J68=M67,N67,IF(J68=M68,N68,IF(J68=M69,N69,IF(J68=M70,N70,IF(J68=M71,N71,IF(J68=M72,N72,".")))))))</f>
        <v>-386000</v>
      </c>
      <c r="L68" s="39"/>
      <c r="M68" s="39" t="s">
        <v>21</v>
      </c>
      <c r="N68" s="41">
        <f>-lists!O26</f>
        <v>-386000</v>
      </c>
      <c r="O68" s="41"/>
      <c r="P68" s="39"/>
      <c r="Q68" s="29"/>
      <c r="R68" s="29"/>
      <c r="S68" s="29"/>
    </row>
    <row r="69" spans="1:19" x14ac:dyDescent="0.25">
      <c r="A69" s="111" t="s">
        <v>31</v>
      </c>
      <c r="B69" s="112">
        <f>z_H._Cash_received_from_customers</f>
        <v>565600</v>
      </c>
      <c r="C69" s="110" t="s">
        <v>169</v>
      </c>
      <c r="D69" s="62" t="s">
        <v>163</v>
      </c>
      <c r="E69" s="29"/>
      <c r="F69" s="39">
        <f t="shared" si="0"/>
        <v>0</v>
      </c>
      <c r="G69" s="39">
        <f t="shared" si="0"/>
        <v>0</v>
      </c>
      <c r="H69" s="39"/>
      <c r="I69" s="39"/>
      <c r="J69" s="39" t="str">
        <f>IF(OR(A69=A67,A69=A68),".",IF(AND(A69="",M69&lt;&gt;""),".",IF(AND(A69&lt;&gt;"",M69=""),".",IF(OR(A69=M67,A69=M68,A69=M69,A69=M70,A69=M71,A69=M72),A69,"."))))</f>
        <v>Cash received from customers</v>
      </c>
      <c r="K69" s="41">
        <f>IF(J69=".",".",IF(J69=M67,N67,IF(J69=M68,N68,IF(J69=M69,N69,IF(J69=M70,N70,IF(J69=M71,N71,IF(J69=M72,N72,".")))))))</f>
        <v>565600</v>
      </c>
      <c r="L69" s="39"/>
      <c r="M69" s="39" t="s">
        <v>31</v>
      </c>
      <c r="N69" s="41">
        <f>+lists!O27</f>
        <v>565600</v>
      </c>
      <c r="O69" s="41"/>
      <c r="P69" s="39"/>
      <c r="Q69" s="29"/>
      <c r="R69" s="29"/>
      <c r="S69" s="29"/>
    </row>
    <row r="70" spans="1:19" x14ac:dyDescent="0.25">
      <c r="A70" s="111" t="s">
        <v>23</v>
      </c>
      <c r="B70" s="112">
        <f>-1*z_J._Cash_paid_for_income_taxes</f>
        <v>-1600</v>
      </c>
      <c r="C70" s="110" t="s">
        <v>169</v>
      </c>
      <c r="D70" s="62" t="s">
        <v>163</v>
      </c>
      <c r="E70" s="29"/>
      <c r="F70" s="39">
        <f t="shared" si="0"/>
        <v>0</v>
      </c>
      <c r="G70" s="39">
        <f t="shared" si="0"/>
        <v>0</v>
      </c>
      <c r="H70" s="39"/>
      <c r="I70" s="39"/>
      <c r="J70" s="39" t="str">
        <f>IF(OR(A70=A67,A70=A68,A70=A69),".",IF(AND(A70="",M70&lt;&gt;""),".",IF(AND(A70&lt;&gt;"",M70=""),".",IF(OR(A70=M67,A70=M68,A70=M69,A70=M70,A70=M71,A70=M72),A70,"."))))</f>
        <v>Cash paid for income taxes</v>
      </c>
      <c r="K70" s="41">
        <f>IF(J70=".",".",IF(J70=M67,N67,IF(J70=M68,N68,IF(J70=M69,N69,IF(J70=M70,N70,IF(J70=M71,N71,IF(J70=M72,N72,".")))))))</f>
        <v>-1600</v>
      </c>
      <c r="L70" s="39"/>
      <c r="M70" s="39" t="s">
        <v>23</v>
      </c>
      <c r="N70" s="41">
        <f>-lists!O29</f>
        <v>-1600</v>
      </c>
      <c r="O70" s="41"/>
      <c r="P70" s="39"/>
      <c r="Q70" s="29"/>
      <c r="R70" s="29"/>
      <c r="S70" s="29"/>
    </row>
    <row r="71" spans="1:19" x14ac:dyDescent="0.25">
      <c r="A71" s="111"/>
      <c r="B71" s="112"/>
      <c r="C71" s="110" t="s">
        <v>169</v>
      </c>
      <c r="D71" s="62" t="s">
        <v>163</v>
      </c>
      <c r="E71" s="29"/>
      <c r="F71" s="39">
        <f t="shared" si="0"/>
        <v>0</v>
      </c>
      <c r="G71" s="39">
        <f t="shared" si="0"/>
        <v>0</v>
      </c>
      <c r="H71" s="39"/>
      <c r="I71" s="39"/>
      <c r="J71" s="39">
        <f>IF(OR(A71=A67,A71=A68,A71=A69,A71=A70),".",IF(AND(A71="",M71&lt;&gt;""),".",IF(AND(A71&lt;&gt;"",M71=""),".",IF(OR(A71=M67,A71=M68,A71=M69,A71=M70,A71=M71,A71=M72),A71,"."))))</f>
        <v>0</v>
      </c>
      <c r="K71" s="41">
        <f>IF(J71=".",".",IF(J71=M67,N67,IF(J71=M68,N68,IF(J71=M69,N69,IF(J71=M70,N70,IF(J71=M71,N71,IF(J71=M72,N72,".")))))))</f>
        <v>0</v>
      </c>
      <c r="L71" s="39"/>
      <c r="M71" s="39"/>
      <c r="N71" s="41"/>
      <c r="O71" s="41"/>
      <c r="P71" s="39"/>
      <c r="Q71" s="29"/>
      <c r="R71" s="29"/>
      <c r="S71" s="29"/>
    </row>
    <row r="72" spans="1:19" x14ac:dyDescent="0.25">
      <c r="A72" s="111"/>
      <c r="B72" s="113"/>
      <c r="C72" s="110" t="s">
        <v>169</v>
      </c>
      <c r="D72" s="62" t="s">
        <v>163</v>
      </c>
      <c r="E72" s="29"/>
      <c r="F72" s="39">
        <f t="shared" si="0"/>
        <v>0</v>
      </c>
      <c r="G72" s="39">
        <f t="shared" si="0"/>
        <v>0</v>
      </c>
      <c r="H72" s="39"/>
      <c r="I72" s="39"/>
      <c r="J72" s="39" t="str">
        <f>IF(OR(A72=A67,A72=A68,A72=A69,A72=A70,A72=A71),".",IF(AND(A72="",M72&lt;&gt;""),".",IF(AND(A72&lt;&gt;"",M72=""),".",IF(OR(A72=M67,A72=M68,A72=M69,A72=M70,A72=M71,A72=M72),A72,"."))))</f>
        <v>.</v>
      </c>
      <c r="K72" s="41" t="str">
        <f>IF(J72=".",".",IF(J72=M67,N67,IF(J72=M68,N68,IF(J72=M69,N69,IF(J72=M70,N70,IF(J72=M71,N71,IF(J72=M72,N72,".")))))))</f>
        <v>.</v>
      </c>
      <c r="L72" s="39"/>
      <c r="M72" s="39"/>
      <c r="N72" s="41"/>
      <c r="O72" s="41"/>
      <c r="P72" s="39"/>
      <c r="Q72" s="29"/>
      <c r="R72" s="29"/>
      <c r="S72" s="29"/>
    </row>
    <row r="73" spans="1:19" x14ac:dyDescent="0.25">
      <c r="A73" s="114" t="s">
        <v>38</v>
      </c>
      <c r="B73" s="115" t="s">
        <v>169</v>
      </c>
      <c r="C73" s="112">
        <f>SUM(B67:B72)</f>
        <v>20000</v>
      </c>
      <c r="D73" s="62" t="s">
        <v>163</v>
      </c>
      <c r="E73" s="29"/>
      <c r="F73" s="39">
        <f>IF(A73&lt;&gt;M73,1,0)</f>
        <v>0</v>
      </c>
      <c r="G73" s="39"/>
      <c r="H73" s="39">
        <f t="shared" ref="H73" si="1">IF(C73&lt;&gt;O73,1,0)</f>
        <v>0</v>
      </c>
      <c r="I73" s="39"/>
      <c r="J73" s="39"/>
      <c r="K73" s="41"/>
      <c r="L73" s="39"/>
      <c r="M73" s="39" t="s">
        <v>38</v>
      </c>
      <c r="N73" s="41"/>
      <c r="O73" s="41">
        <f>SUM(N67:N72)</f>
        <v>20000</v>
      </c>
      <c r="P73" s="39"/>
      <c r="Q73" s="29"/>
      <c r="R73" s="29"/>
      <c r="S73" s="29"/>
    </row>
    <row r="74" spans="1:19" x14ac:dyDescent="0.25">
      <c r="A74" s="109" t="s">
        <v>39</v>
      </c>
      <c r="B74" s="110" t="s">
        <v>169</v>
      </c>
      <c r="C74" s="110" t="s">
        <v>169</v>
      </c>
      <c r="D74" s="62" t="s">
        <v>163</v>
      </c>
      <c r="E74" s="29"/>
      <c r="F74" s="39">
        <f>IF(A74&lt;&gt;M74,1,0)</f>
        <v>0</v>
      </c>
      <c r="G74" s="39"/>
      <c r="H74" s="39"/>
      <c r="I74" s="39"/>
      <c r="J74" s="39"/>
      <c r="K74" s="41"/>
      <c r="L74" s="39"/>
      <c r="M74" s="39" t="s">
        <v>39</v>
      </c>
      <c r="N74" s="41"/>
      <c r="O74" s="41"/>
      <c r="P74" s="39"/>
      <c r="Q74" s="29"/>
      <c r="R74" s="29"/>
      <c r="S74" s="29"/>
    </row>
    <row r="75" spans="1:19" x14ac:dyDescent="0.25">
      <c r="A75" s="111" t="s">
        <v>201</v>
      </c>
      <c r="B75" s="112">
        <f>z_F._Cash_paid_for_equipment*-1</f>
        <v>-82000</v>
      </c>
      <c r="C75" s="110" t="s">
        <v>169</v>
      </c>
      <c r="D75" s="62" t="s">
        <v>163</v>
      </c>
      <c r="E75" s="29"/>
      <c r="F75" s="39">
        <f>IF(AND(M75="",A75=""),0,IF(A75&lt;&gt;J75,1,0))</f>
        <v>0</v>
      </c>
      <c r="G75" s="39">
        <f>IF(AND(N75="",B75=""),0,IF(B75&lt;&gt;K75,1,0))</f>
        <v>0</v>
      </c>
      <c r="H75" s="39"/>
      <c r="I75" s="39"/>
      <c r="J75" s="39" t="str">
        <f>IF(AND(A75="",M75&lt;&gt;""),".",IF(AND(A75&lt;&gt;"",M75=""),".",IF(OR(A75=M75,A75=M76,A75=M77,A75=M78,A75=M79,A75=M80),A75,".")))</f>
        <v>Cash paid for equipment</v>
      </c>
      <c r="K75" s="41">
        <f>IF(J75=".",".",IF(J75=M75,N75,IF(J75=M76,N76,IF(J75=M77,N77,IF(J75=M78,N78,IF(J75=M79,N79,IF(J75=M80,N80,".")))))))</f>
        <v>-82000</v>
      </c>
      <c r="L75" s="39"/>
      <c r="M75" s="39" t="s">
        <v>201</v>
      </c>
      <c r="N75" s="41">
        <f>-lists!O25</f>
        <v>-82000</v>
      </c>
      <c r="O75" s="41"/>
      <c r="P75" s="39"/>
      <c r="Q75" s="29"/>
      <c r="R75" s="29"/>
      <c r="S75" s="29"/>
    </row>
    <row r="76" spans="1:19" x14ac:dyDescent="0.25">
      <c r="A76" s="111" t="s">
        <v>199</v>
      </c>
      <c r="B76" s="112">
        <f>z_I._Cash_received_from_sale_of_equipment</f>
        <v>38000</v>
      </c>
      <c r="C76" s="110" t="s">
        <v>169</v>
      </c>
      <c r="D76" s="62" t="s">
        <v>163</v>
      </c>
      <c r="E76" s="29"/>
      <c r="F76" s="39">
        <f t="shared" ref="F76:G80" si="2">IF(AND(M76="",A76=""),0,IF(A76&lt;&gt;J76,1,0))</f>
        <v>0</v>
      </c>
      <c r="G76" s="39">
        <f t="shared" si="2"/>
        <v>0</v>
      </c>
      <c r="H76" s="39"/>
      <c r="I76" s="39"/>
      <c r="J76" s="39" t="str">
        <f>IF(A76=A75,".",IF(AND(A76="",M76&lt;&gt;""),".",IF(AND(A76&lt;&gt;"",M76=""),".",IF(OR(A76=M75,A76=M76,A76=M77,A76=M78,A76=M79,A76=M80),A76,"."))))</f>
        <v>Cash received from sale of equipment</v>
      </c>
      <c r="K76" s="41">
        <f>IF(J76=".",".",IF(J76=M75,N75,IF(J76=M76,N76,IF(J76=M77,N77,IF(J76=M78,N78,IF(J76=M79,N79,IF(J76=M80,N80,".")))))))</f>
        <v>38000</v>
      </c>
      <c r="L76" s="39"/>
      <c r="M76" s="39" t="s">
        <v>199</v>
      </c>
      <c r="N76" s="41">
        <f>+lists!O28</f>
        <v>38000</v>
      </c>
      <c r="O76" s="41"/>
      <c r="P76" s="39"/>
      <c r="Q76" s="29"/>
      <c r="R76" s="29"/>
      <c r="S76" s="29"/>
    </row>
    <row r="77" spans="1:19" x14ac:dyDescent="0.25">
      <c r="A77" s="111"/>
      <c r="B77" s="112"/>
      <c r="C77" s="110" t="s">
        <v>169</v>
      </c>
      <c r="D77" s="62" t="s">
        <v>163</v>
      </c>
      <c r="E77" s="29"/>
      <c r="F77" s="39">
        <f t="shared" si="2"/>
        <v>0</v>
      </c>
      <c r="G77" s="39">
        <f t="shared" si="2"/>
        <v>0</v>
      </c>
      <c r="H77" s="39"/>
      <c r="I77" s="39"/>
      <c r="J77" s="39">
        <f>IF(OR(A77=A75,A77=A76),".",IF(AND(A77="",M77&lt;&gt;""),".",IF(AND(A77&lt;&gt;"",M77=""),".",IF(OR(A77=M75,A77=M76,A77=M77,A77=M78,A77=M79,A77=M80),A77,"."))))</f>
        <v>0</v>
      </c>
      <c r="K77" s="41">
        <f>IF(J77=".",".",IF(J77=M75,N75,IF(J77=M76,N76,IF(J77=M77,N77,IF(J77=M78,N78,IF(J77=M79,N79,IF(J77=M80,N80,".")))))))</f>
        <v>0</v>
      </c>
      <c r="L77" s="39"/>
      <c r="M77" s="39"/>
      <c r="N77" s="41"/>
      <c r="O77" s="41"/>
      <c r="P77" s="39"/>
      <c r="Q77" s="29"/>
      <c r="R77" s="29"/>
      <c r="S77" s="29"/>
    </row>
    <row r="78" spans="1:19" x14ac:dyDescent="0.25">
      <c r="A78" s="111"/>
      <c r="B78" s="112"/>
      <c r="C78" s="110" t="s">
        <v>169</v>
      </c>
      <c r="D78" s="62" t="s">
        <v>163</v>
      </c>
      <c r="E78" s="29"/>
      <c r="F78" s="39">
        <f t="shared" si="2"/>
        <v>0</v>
      </c>
      <c r="G78" s="39">
        <f t="shared" si="2"/>
        <v>0</v>
      </c>
      <c r="H78" s="39"/>
      <c r="I78" s="39"/>
      <c r="J78" s="39" t="str">
        <f>IF(OR(A78=A75,A78=A76,A78=A77),".",IF(AND(A78="",M78&lt;&gt;""),".",IF(AND(A78&lt;&gt;"",M78=""),".",IF(OR(A78=M75,A78=M76,A78=M77,A78=M78,A78=M79,A78=M80),A78,"."))))</f>
        <v>.</v>
      </c>
      <c r="K78" s="41" t="str">
        <f>IF(J78=".",".",IF(J78=M75,N75,IF(J78=M76,N76,IF(J78=M77,N77,IF(J78=M78,N78,IF(J78=M79,N79,IF(J78=M80,N80,".")))))))</f>
        <v>.</v>
      </c>
      <c r="L78" s="39"/>
      <c r="M78" s="39"/>
      <c r="N78" s="41"/>
      <c r="O78" s="41"/>
      <c r="P78" s="39"/>
      <c r="Q78" s="29"/>
      <c r="R78" s="29"/>
      <c r="S78" s="29"/>
    </row>
    <row r="79" spans="1:19" x14ac:dyDescent="0.25">
      <c r="A79" s="111"/>
      <c r="B79" s="112"/>
      <c r="C79" s="110" t="s">
        <v>169</v>
      </c>
      <c r="D79" s="62" t="s">
        <v>163</v>
      </c>
      <c r="E79" s="29"/>
      <c r="F79" s="39">
        <f t="shared" si="2"/>
        <v>0</v>
      </c>
      <c r="G79" s="39">
        <f t="shared" si="2"/>
        <v>0</v>
      </c>
      <c r="H79" s="39"/>
      <c r="I79" s="39"/>
      <c r="J79" s="39" t="str">
        <f>IF(OR(A79=A75,A79=A76,A79=A77,A79=A78),".",IF(AND(A79="",M79&lt;&gt;""),".",IF(AND(A79&lt;&gt;"",M79=""),".",IF(OR(A79=M75,A79=M76,A79=M77,A79=M78,A79=M79,A79=M80),A79,"."))))</f>
        <v>.</v>
      </c>
      <c r="K79" s="41" t="str">
        <f>IF(J79=".",".",IF(J79=M75,N75,IF(J79=M76,N76,IF(J79=M77,N77,IF(J79=M78,N78,IF(J79=M79,N79,IF(J79=M80,N80,".")))))))</f>
        <v>.</v>
      </c>
      <c r="L79" s="39"/>
      <c r="M79" s="39"/>
      <c r="N79" s="41"/>
      <c r="O79" s="41"/>
      <c r="P79" s="39"/>
      <c r="Q79" s="29"/>
      <c r="R79" s="29"/>
      <c r="S79" s="29"/>
    </row>
    <row r="80" spans="1:19" x14ac:dyDescent="0.25">
      <c r="A80" s="111"/>
      <c r="B80" s="113"/>
      <c r="C80" s="110" t="s">
        <v>169</v>
      </c>
      <c r="D80" s="62" t="s">
        <v>163</v>
      </c>
      <c r="E80" s="29"/>
      <c r="F80" s="39">
        <f t="shared" si="2"/>
        <v>0</v>
      </c>
      <c r="G80" s="39">
        <f t="shared" si="2"/>
        <v>0</v>
      </c>
      <c r="H80" s="39"/>
      <c r="I80" s="39"/>
      <c r="J80" s="39" t="str">
        <f>IF(OR(A80=A75,A80=A76,A80=A77,A80=A78,A80=A79),".",IF(AND(A80="",M80&lt;&gt;""),".",IF(AND(A80&lt;&gt;"",M80=""),".",IF(OR(A80=M75,A80=M76,A80=M77,A80=M78,A80=M79,A80=M80),A80,"."))))</f>
        <v>.</v>
      </c>
      <c r="K80" s="41" t="str">
        <f>IF(J80=".",".",IF(J80=M75,N75,IF(J80=M76,N76,IF(J80=M77,N77,IF(J80=M78,N78,IF(J80=M79,N79,IF(J80=M80,N80,".")))))))</f>
        <v>.</v>
      </c>
      <c r="L80" s="39"/>
      <c r="M80" s="39"/>
      <c r="N80" s="41"/>
      <c r="O80" s="41"/>
      <c r="P80" s="39"/>
      <c r="Q80" s="29"/>
      <c r="R80" s="29"/>
      <c r="S80" s="29"/>
    </row>
    <row r="81" spans="1:19" x14ac:dyDescent="0.25">
      <c r="A81" s="114" t="s">
        <v>40</v>
      </c>
      <c r="B81" s="115" t="s">
        <v>169</v>
      </c>
      <c r="C81" s="112">
        <f>SUM(B75:B80)</f>
        <v>-44000</v>
      </c>
      <c r="D81" s="62" t="s">
        <v>163</v>
      </c>
      <c r="E81" s="29"/>
      <c r="F81" s="39">
        <f>IF(A81&lt;&gt;M81,1,0)</f>
        <v>0</v>
      </c>
      <c r="G81" s="39"/>
      <c r="H81" s="39">
        <f t="shared" ref="H81" si="3">IF(C81&lt;&gt;O81,1,0)</f>
        <v>0</v>
      </c>
      <c r="I81" s="39"/>
      <c r="J81" s="39"/>
      <c r="K81" s="41"/>
      <c r="L81" s="39"/>
      <c r="M81" s="39" t="s">
        <v>40</v>
      </c>
      <c r="N81" s="41"/>
      <c r="O81" s="41">
        <f>SUM(N75:N80)</f>
        <v>-44000</v>
      </c>
      <c r="P81" s="39"/>
      <c r="Q81" s="29"/>
      <c r="R81" s="29"/>
      <c r="S81" s="29"/>
    </row>
    <row r="82" spans="1:19" x14ac:dyDescent="0.25">
      <c r="A82" s="109" t="s">
        <v>41</v>
      </c>
      <c r="B82" s="110" t="s">
        <v>169</v>
      </c>
      <c r="C82" s="110" t="s">
        <v>169</v>
      </c>
      <c r="D82" s="62" t="s">
        <v>163</v>
      </c>
      <c r="E82" s="29"/>
      <c r="F82" s="39">
        <f>IF(A82&lt;&gt;M82,1,0)</f>
        <v>0</v>
      </c>
      <c r="G82" s="39"/>
      <c r="H82" s="39"/>
      <c r="I82" s="39"/>
      <c r="J82" s="39"/>
      <c r="K82" s="41"/>
      <c r="L82" s="39"/>
      <c r="M82" s="39" t="s">
        <v>41</v>
      </c>
      <c r="N82" s="41"/>
      <c r="O82" s="41"/>
      <c r="P82" s="39"/>
      <c r="Q82" s="29"/>
      <c r="R82" s="29"/>
      <c r="S82" s="29"/>
    </row>
    <row r="83" spans="1:19" x14ac:dyDescent="0.25">
      <c r="A83" s="111" t="s">
        <v>198</v>
      </c>
      <c r="B83" s="112">
        <f>z_B._Cash_received_from_borrowing_on_short_term_note_payable</f>
        <v>5000</v>
      </c>
      <c r="C83" s="110" t="s">
        <v>169</v>
      </c>
      <c r="D83" s="62" t="s">
        <v>163</v>
      </c>
      <c r="E83" s="29"/>
      <c r="F83" s="39">
        <f>IF(AND(M83="",A83=""),0,IF(A83&lt;&gt;J83,1,0))</f>
        <v>0</v>
      </c>
      <c r="G83" s="39">
        <f>IF(AND(N83="",B83=""),0,IF(B83&lt;&gt;K83,1,0))</f>
        <v>0</v>
      </c>
      <c r="H83" s="39"/>
      <c r="I83" s="39"/>
      <c r="J83" s="39" t="str">
        <f>IF(AND(A83="",M83&lt;&gt;""),".",IF(AND(A83&lt;&gt;"",M83=""),".",IF(OR(A83=M83,A83=M84,A83=M85,A83=M86,A83=M87,A83=M88),A83,".")))</f>
        <v>Cash received from borrowing on short-term note payable</v>
      </c>
      <c r="K83" s="41">
        <f>IF(J83=".",".",IF(J83=M83,N83,IF(J83=M84,N84,IF(J83=M85,N85,IF(J83=M86,N86,IF(J83=M87,N87,IF(J83=M88,N88,".")))))))</f>
        <v>5000</v>
      </c>
      <c r="L83" s="39"/>
      <c r="M83" s="39" t="s">
        <v>198</v>
      </c>
      <c r="N83" s="41">
        <f>+lists!O21</f>
        <v>5000</v>
      </c>
      <c r="O83" s="41"/>
      <c r="P83" s="39"/>
      <c r="Q83" s="29"/>
      <c r="R83" s="29"/>
      <c r="S83" s="29"/>
    </row>
    <row r="84" spans="1:19" x14ac:dyDescent="0.25">
      <c r="A84" s="111" t="s">
        <v>26</v>
      </c>
      <c r="B84" s="112">
        <f>z_D._Cash_dividends_paid*-1</f>
        <v>-50000</v>
      </c>
      <c r="C84" s="110" t="s">
        <v>169</v>
      </c>
      <c r="D84" s="62" t="s">
        <v>163</v>
      </c>
      <c r="E84" s="29"/>
      <c r="F84" s="39">
        <f t="shared" ref="F84:G88" si="4">IF(AND(M84="",A84=""),0,IF(A84&lt;&gt;J84,1,0))</f>
        <v>0</v>
      </c>
      <c r="G84" s="39">
        <f t="shared" si="4"/>
        <v>0</v>
      </c>
      <c r="H84" s="39"/>
      <c r="I84" s="39"/>
      <c r="J84" s="39" t="str">
        <f>IF(A84=A83,".",IF(AND(A84="",M84&lt;&gt;""),".",IF(AND(A84&lt;&gt;"",M84=""),".",IF(OR(A84=M83,A84=M84,A84=M85,A84=M86,A84=M87,A84=M88),A84,"."))))</f>
        <v>Cash dividends paid</v>
      </c>
      <c r="K84" s="41">
        <f>IF(J84=".",".",IF(J84=M83,N83,IF(J84=M84,N84,IF(J84=M85,N85,IF(J84=M86,N86,IF(J84=M87,N87,IF(J84=M88,N88,".")))))))</f>
        <v>-50000</v>
      </c>
      <c r="L84" s="39"/>
      <c r="M84" s="39" t="s">
        <v>26</v>
      </c>
      <c r="N84" s="41">
        <f>-lists!O23</f>
        <v>-50000</v>
      </c>
      <c r="O84" s="41"/>
      <c r="P84" s="39"/>
      <c r="Q84" s="29"/>
      <c r="R84" s="29"/>
      <c r="S84" s="29"/>
    </row>
    <row r="85" spans="1:19" x14ac:dyDescent="0.25">
      <c r="A85" s="111" t="s">
        <v>200</v>
      </c>
      <c r="B85" s="112">
        <f>z_E._Cash_received_from_sale_of_Fox_Corp_s_common_stock</f>
        <v>77000</v>
      </c>
      <c r="C85" s="110" t="s">
        <v>169</v>
      </c>
      <c r="D85" s="62" t="s">
        <v>163</v>
      </c>
      <c r="E85" s="29"/>
      <c r="F85" s="39">
        <f t="shared" si="4"/>
        <v>0</v>
      </c>
      <c r="G85" s="39">
        <f t="shared" si="4"/>
        <v>0</v>
      </c>
      <c r="H85" s="39"/>
      <c r="I85" s="39"/>
      <c r="J85" s="39" t="str">
        <f>IF(OR(A85=A83,A85=A84),".",IF(AND(A85="",M85&lt;&gt;""),".",IF(AND(A85&lt;&gt;"",M85=""),".",IF(OR(A85=M83,A85=M84,A85=M85,A85=M86,A85=M87,A85=M88),A85,"."))))</f>
        <v>Cash received from sale of Fox Corp's common stock</v>
      </c>
      <c r="K85" s="41">
        <f>IF(J85=".",".",IF(J85=M83,N83,IF(J85=M84,N84,IF(J85=M85,N85,IF(J85=M86,N86,IF(J85=M87,N87,IF(J85=M88,N88,".")))))))</f>
        <v>77000</v>
      </c>
      <c r="L85" s="39"/>
      <c r="M85" s="39" t="s">
        <v>200</v>
      </c>
      <c r="N85" s="41">
        <f>+lists!O24</f>
        <v>77000</v>
      </c>
      <c r="O85" s="41"/>
      <c r="P85" s="39"/>
      <c r="Q85" s="29"/>
      <c r="R85" s="29"/>
      <c r="S85" s="29"/>
    </row>
    <row r="86" spans="1:19" x14ac:dyDescent="0.25">
      <c r="A86" s="111"/>
      <c r="B86" s="112"/>
      <c r="C86" s="110" t="s">
        <v>169</v>
      </c>
      <c r="D86" s="62" t="s">
        <v>163</v>
      </c>
      <c r="E86" s="29"/>
      <c r="F86" s="39">
        <f t="shared" si="4"/>
        <v>0</v>
      </c>
      <c r="G86" s="39">
        <f t="shared" si="4"/>
        <v>0</v>
      </c>
      <c r="H86" s="39"/>
      <c r="I86" s="39"/>
      <c r="J86" s="39">
        <f>IF(OR(A86=A83,A86=A84,A86=A85),".",IF(AND(A86="",M86&lt;&gt;""),".",IF(AND(A86&lt;&gt;"",M86=""),".",IF(OR(A86=M83,A86=M84,A86=M85,A86=M86,A86=M87,A86=M88),A86,"."))))</f>
        <v>0</v>
      </c>
      <c r="K86" s="41">
        <f>IF(J86=".",".",IF(J86=M83,N83,IF(J86=M84,N84,IF(J86=M85,N85,IF(J86=M86,N86,IF(J86=M87,N87,IF(J86=M88,N88,".")))))))</f>
        <v>0</v>
      </c>
      <c r="L86" s="39"/>
      <c r="M86" s="39"/>
      <c r="N86" s="41"/>
      <c r="O86" s="41"/>
      <c r="P86" s="39"/>
      <c r="Q86" s="29"/>
      <c r="R86" s="29"/>
      <c r="S86" s="29"/>
    </row>
    <row r="87" spans="1:19" x14ac:dyDescent="0.25">
      <c r="A87" s="111"/>
      <c r="B87" s="112"/>
      <c r="C87" s="110" t="s">
        <v>169</v>
      </c>
      <c r="D87" s="62" t="s">
        <v>163</v>
      </c>
      <c r="E87" s="29"/>
      <c r="F87" s="39">
        <f t="shared" si="4"/>
        <v>0</v>
      </c>
      <c r="G87" s="39">
        <f t="shared" si="4"/>
        <v>0</v>
      </c>
      <c r="H87" s="39"/>
      <c r="I87" s="39"/>
      <c r="J87" s="39" t="str">
        <f>IF(OR(A87=A83,A87=A84,A87=A85,A87=A86),".",IF(AND(A87="",M87&lt;&gt;""),".",IF(AND(A87&lt;&gt;"",M87=""),".",IF(OR(A87=M83,A87=M84,A87=M85,A87=M86,A87=M87,A87=M88),A87,"."))))</f>
        <v>.</v>
      </c>
      <c r="K87" s="41" t="str">
        <f>IF(J87=".",".",IF(J87=M83,N83,IF(J87=M84,N84,IF(J87=M85,N85,IF(J87=M86,N86,IF(J87=M87,N87,IF(J87=M88,N88,".")))))))</f>
        <v>.</v>
      </c>
      <c r="L87" s="39"/>
      <c r="M87" s="39"/>
      <c r="N87" s="41"/>
      <c r="O87" s="41"/>
      <c r="P87" s="39"/>
      <c r="Q87" s="29"/>
      <c r="R87" s="29"/>
      <c r="S87" s="29"/>
    </row>
    <row r="88" spans="1:19" x14ac:dyDescent="0.25">
      <c r="A88" s="111"/>
      <c r="B88" s="113"/>
      <c r="C88" s="110" t="s">
        <v>169</v>
      </c>
      <c r="D88" s="62" t="s">
        <v>163</v>
      </c>
      <c r="E88" s="29"/>
      <c r="F88" s="39">
        <f t="shared" si="4"/>
        <v>0</v>
      </c>
      <c r="G88" s="39">
        <f t="shared" si="4"/>
        <v>0</v>
      </c>
      <c r="H88" s="39"/>
      <c r="I88" s="39"/>
      <c r="J88" s="39" t="str">
        <f>IF(OR(A88=A83,A88=A84,A88=A85,A88=A86,A88=A87),".",IF(AND(A88="",M88&lt;&gt;""),".",IF(AND(A88&lt;&gt;"",M88=""),".",IF(OR(A88=M83,A88=M84,A88=M85,A88=M86,A88=M87,A88=M88),A88,"."))))</f>
        <v>.</v>
      </c>
      <c r="K88" s="41" t="str">
        <f>IF(J88=".",".",IF(J88=M83,N83,IF(J88=M84,N84,IF(J88=M85,N85,IF(J88=M86,N86,IF(J88=M87,N87,IF(J88=M88,N88,".")))))))</f>
        <v>.</v>
      </c>
      <c r="L88" s="39"/>
      <c r="M88" s="39"/>
      <c r="N88" s="41"/>
      <c r="O88" s="41"/>
      <c r="P88" s="39"/>
      <c r="Q88" s="29"/>
      <c r="R88" s="29"/>
      <c r="S88" s="29"/>
    </row>
    <row r="89" spans="1:19" x14ac:dyDescent="0.25">
      <c r="A89" s="114" t="s">
        <v>42</v>
      </c>
      <c r="B89" s="115" t="s">
        <v>169</v>
      </c>
      <c r="C89" s="112">
        <f>SUM(B83:B88)</f>
        <v>32000</v>
      </c>
      <c r="D89" s="62" t="s">
        <v>163</v>
      </c>
      <c r="E89" s="29"/>
      <c r="F89" s="39">
        <f>IF(A89&lt;&gt;M89,1,0)</f>
        <v>0</v>
      </c>
      <c r="G89" s="39"/>
      <c r="H89" s="39">
        <f t="shared" ref="H89:H92" si="5">IF(C89&lt;&gt;O89,1,0)</f>
        <v>0</v>
      </c>
      <c r="I89" s="39"/>
      <c r="J89" s="39"/>
      <c r="K89" s="41"/>
      <c r="L89" s="39"/>
      <c r="M89" s="39" t="s">
        <v>42</v>
      </c>
      <c r="N89" s="41"/>
      <c r="O89" s="41">
        <f>SUM(N83:N88)</f>
        <v>32000</v>
      </c>
      <c r="P89" s="39"/>
      <c r="Q89" s="29"/>
      <c r="R89" s="29"/>
      <c r="S89" s="29"/>
    </row>
    <row r="90" spans="1:19" x14ac:dyDescent="0.25">
      <c r="A90" s="114" t="s">
        <v>43</v>
      </c>
      <c r="B90" s="116" t="s">
        <v>169</v>
      </c>
      <c r="C90" s="117">
        <f>SCF_Section1_Total_Amount+SCF_Section2_Total_Amount+SCF_Section3_Total_Amount</f>
        <v>8000</v>
      </c>
      <c r="D90" s="62" t="s">
        <v>163</v>
      </c>
      <c r="E90" s="29"/>
      <c r="F90" s="39">
        <f t="shared" ref="F90:F92" si="6">IF(A90&lt;&gt;M90,1,0)</f>
        <v>0</v>
      </c>
      <c r="G90" s="39"/>
      <c r="H90" s="39">
        <f t="shared" si="5"/>
        <v>0</v>
      </c>
      <c r="I90" s="39"/>
      <c r="J90" s="39"/>
      <c r="K90" s="41"/>
      <c r="L90" s="39"/>
      <c r="M90" s="39" t="s">
        <v>43</v>
      </c>
      <c r="N90" s="41"/>
      <c r="O90" s="41">
        <f>SUM(O73:O89)</f>
        <v>8000</v>
      </c>
      <c r="P90" s="39"/>
      <c r="Q90" s="29"/>
      <c r="R90" s="29"/>
      <c r="S90" s="29"/>
    </row>
    <row r="91" spans="1:19" x14ac:dyDescent="0.25">
      <c r="A91" s="111" t="s">
        <v>53</v>
      </c>
      <c r="B91" s="116" t="s">
        <v>169</v>
      </c>
      <c r="C91" s="118">
        <f>Year1_Cash</f>
        <v>85000</v>
      </c>
      <c r="D91" s="62" t="s">
        <v>163</v>
      </c>
      <c r="E91" s="29"/>
      <c r="F91" s="39">
        <f t="shared" si="6"/>
        <v>0</v>
      </c>
      <c r="G91" s="39"/>
      <c r="H91" s="39">
        <f t="shared" si="5"/>
        <v>0</v>
      </c>
      <c r="I91" s="39"/>
      <c r="J91" s="39"/>
      <c r="K91" s="41"/>
      <c r="L91" s="39"/>
      <c r="M91" s="39" t="s">
        <v>53</v>
      </c>
      <c r="N91" s="41"/>
      <c r="O91" s="41">
        <f>+Information!C12</f>
        <v>85000</v>
      </c>
      <c r="P91" s="39"/>
      <c r="Q91" s="29"/>
      <c r="R91" s="29"/>
      <c r="S91" s="29"/>
    </row>
    <row r="92" spans="1:19" ht="15.75" thickBot="1" x14ac:dyDescent="0.3">
      <c r="A92" s="114" t="s">
        <v>54</v>
      </c>
      <c r="B92" s="116" t="s">
        <v>169</v>
      </c>
      <c r="C92" s="119">
        <f>Year2_Cash</f>
        <v>93000</v>
      </c>
      <c r="D92" s="62" t="s">
        <v>163</v>
      </c>
      <c r="E92" s="29"/>
      <c r="F92" s="39">
        <f t="shared" si="6"/>
        <v>0</v>
      </c>
      <c r="G92" s="39"/>
      <c r="H92" s="39">
        <f t="shared" si="5"/>
        <v>0</v>
      </c>
      <c r="I92" s="39"/>
      <c r="J92" s="39"/>
      <c r="K92" s="41"/>
      <c r="L92" s="39"/>
      <c r="M92" s="39" t="s">
        <v>54</v>
      </c>
      <c r="N92" s="41"/>
      <c r="O92" s="41">
        <f>+O90+O91</f>
        <v>93000</v>
      </c>
      <c r="P92" s="41">
        <f>+Information!B12</f>
        <v>93000</v>
      </c>
      <c r="Q92" s="29"/>
      <c r="R92" s="29"/>
      <c r="S92" s="29"/>
    </row>
    <row r="93" spans="1:19" ht="15.75" hidden="1" thickTop="1" x14ac:dyDescent="0.25">
      <c r="A93" s="111"/>
      <c r="B93" s="116" t="s">
        <v>169</v>
      </c>
      <c r="C93" s="120"/>
      <c r="D93" s="62" t="s">
        <v>163</v>
      </c>
      <c r="E93" s="29"/>
      <c r="F93" s="39"/>
      <c r="G93" s="39"/>
      <c r="H93" s="39"/>
      <c r="I93" s="39"/>
      <c r="J93" s="39"/>
      <c r="K93" s="41"/>
      <c r="L93" s="39"/>
      <c r="M93" s="39"/>
      <c r="N93" s="41"/>
      <c r="O93" s="41"/>
      <c r="P93" s="39"/>
      <c r="Q93" s="29"/>
      <c r="R93" s="29"/>
      <c r="S93" s="29"/>
    </row>
    <row r="94" spans="1:19" ht="15.75" thickTop="1" x14ac:dyDescent="0.25">
      <c r="A94" s="109" t="s">
        <v>52</v>
      </c>
      <c r="B94" s="116" t="s">
        <v>169</v>
      </c>
      <c r="C94" s="116" t="s">
        <v>169</v>
      </c>
      <c r="D94" s="62" t="s">
        <v>163</v>
      </c>
      <c r="E94" s="29"/>
      <c r="F94" s="39">
        <f t="shared" ref="F94:F95" si="7">IF(A94&lt;&gt;M94,1,0)</f>
        <v>0</v>
      </c>
      <c r="G94" s="39"/>
      <c r="H94" s="39"/>
      <c r="I94" s="39"/>
      <c r="J94" s="39"/>
      <c r="K94" s="41"/>
      <c r="L94" s="39"/>
      <c r="M94" s="39" t="s">
        <v>52</v>
      </c>
      <c r="N94" s="41"/>
      <c r="O94" s="41"/>
      <c r="P94" s="39"/>
      <c r="Q94" s="29"/>
      <c r="R94" s="29"/>
      <c r="S94" s="29"/>
    </row>
    <row r="95" spans="1:19" x14ac:dyDescent="0.25">
      <c r="A95" s="111" t="s">
        <v>197</v>
      </c>
      <c r="B95" s="116" t="s">
        <v>169</v>
      </c>
      <c r="C95" s="112">
        <f>z_C._Acquired_equipment_by_signing_long_term_note_payable</f>
        <v>156000</v>
      </c>
      <c r="D95" s="62" t="s">
        <v>163</v>
      </c>
      <c r="E95" s="29"/>
      <c r="F95" s="39">
        <f t="shared" si="7"/>
        <v>0</v>
      </c>
      <c r="G95" s="39"/>
      <c r="H95" s="39">
        <f t="shared" ref="H95" si="8">IF(C95&lt;&gt;O95,1,0)</f>
        <v>0</v>
      </c>
      <c r="I95" s="39"/>
      <c r="J95" s="39"/>
      <c r="K95" s="41"/>
      <c r="L95" s="39"/>
      <c r="M95" s="39" t="s">
        <v>197</v>
      </c>
      <c r="N95" s="41"/>
      <c r="O95" s="41">
        <f>+lists!O22</f>
        <v>156000</v>
      </c>
      <c r="P95" s="39"/>
      <c r="Q95" s="29"/>
      <c r="R95" s="29"/>
      <c r="S95" s="29"/>
    </row>
    <row r="96" spans="1:19" x14ac:dyDescent="0.25">
      <c r="A96" s="111"/>
      <c r="B96" s="116" t="s">
        <v>169</v>
      </c>
      <c r="C96" s="112"/>
      <c r="D96" s="62" t="s">
        <v>163</v>
      </c>
      <c r="E96" s="29"/>
      <c r="F96" s="39"/>
      <c r="G96" s="39"/>
      <c r="H96" s="39"/>
      <c r="I96" s="39"/>
      <c r="J96" s="39"/>
      <c r="K96" s="41"/>
      <c r="L96" s="39"/>
      <c r="M96" s="39"/>
      <c r="N96" s="41"/>
      <c r="O96" s="41"/>
      <c r="P96" s="39"/>
      <c r="Q96" s="29"/>
      <c r="R96" s="29"/>
      <c r="S96" s="29"/>
    </row>
    <row r="97" spans="1:19" x14ac:dyDescent="0.25">
      <c r="A97" s="109" t="s">
        <v>51</v>
      </c>
      <c r="B97" s="116" t="s">
        <v>169</v>
      </c>
      <c r="C97" s="88" t="s">
        <v>169</v>
      </c>
      <c r="D97" s="62" t="s">
        <v>163</v>
      </c>
      <c r="E97" s="29"/>
      <c r="F97" s="39">
        <f>IF(A97&lt;&gt;M97,1,0)</f>
        <v>0</v>
      </c>
      <c r="G97" s="39"/>
      <c r="H97" s="39"/>
      <c r="I97" s="39"/>
      <c r="J97" s="39"/>
      <c r="K97" s="41"/>
      <c r="L97" s="39"/>
      <c r="M97" s="39" t="s">
        <v>51</v>
      </c>
      <c r="N97" s="41"/>
      <c r="O97" s="41"/>
      <c r="P97" s="39"/>
      <c r="Q97" s="29"/>
      <c r="R97" s="29"/>
      <c r="S97" s="29"/>
    </row>
    <row r="98" spans="1:19" x14ac:dyDescent="0.25">
      <c r="A98" s="111" t="s">
        <v>16</v>
      </c>
      <c r="B98" s="116" t="s">
        <v>169</v>
      </c>
      <c r="C98" s="112">
        <f>Net_Income</f>
        <v>9500</v>
      </c>
      <c r="D98" s="62" t="s">
        <v>163</v>
      </c>
      <c r="E98" s="29"/>
      <c r="F98" s="39">
        <f>IF(A98&lt;&gt;M98,1,0)</f>
        <v>0</v>
      </c>
      <c r="G98" s="39"/>
      <c r="H98" s="39">
        <f t="shared" ref="H98:H109" si="9">IF(C98&lt;&gt;O98,1,0)</f>
        <v>0</v>
      </c>
      <c r="I98" s="39"/>
      <c r="J98" s="39" t="str">
        <f>+M98</f>
        <v>Net Income</v>
      </c>
      <c r="K98" s="41">
        <f>+O98</f>
        <v>9500</v>
      </c>
      <c r="L98" s="39"/>
      <c r="M98" s="39" t="s">
        <v>16</v>
      </c>
      <c r="N98" s="41"/>
      <c r="O98" s="41">
        <f>+Information!G21</f>
        <v>9500</v>
      </c>
      <c r="P98" s="39"/>
      <c r="Q98" s="29"/>
      <c r="R98" s="29"/>
      <c r="S98" s="29"/>
    </row>
    <row r="99" spans="1:19" x14ac:dyDescent="0.25">
      <c r="A99" s="111" t="s">
        <v>91</v>
      </c>
      <c r="B99" s="116" t="s">
        <v>169</v>
      </c>
      <c r="C99" s="112">
        <f>Depreciation_Expense</f>
        <v>87000</v>
      </c>
      <c r="D99" s="62" t="s">
        <v>163</v>
      </c>
      <c r="E99" s="29"/>
      <c r="F99" s="39">
        <f>IF(AND(M99="",A99=""),0,IF(A99&lt;&gt;J99,1,0))</f>
        <v>0</v>
      </c>
      <c r="G99" s="39"/>
      <c r="H99" s="39">
        <f>IF(AND(O99="",C99=""),0,IF(C99&lt;&gt;K99,1,0))</f>
        <v>0</v>
      </c>
      <c r="I99" s="39"/>
      <c r="J99" s="39" t="str">
        <f>IF(AND(A99="",M99&lt;&gt;""),".",IF(AND(A99&lt;&gt;"",M99=""),".",IF(OR(A99=M99,A99=M100,A99=M101,A99=M102,A99=M103,A99=M104,A99=M105,A99=M106,A99=M107,A99=M108),A99,".")))</f>
        <v>Add  Depreciation Expense</v>
      </c>
      <c r="K99" s="41">
        <f>IF(J99=".",".",IF(J99=M99,O99,IF(J99=M100,O100,IF(J99=M101,O101,IF(J99=M102,O102,IF(J99=M103,O103,IF(J99=M104,O104,IF(J99=M105,O105,IF(J99=M106,O106,IF(J99=M107,O107,IF(J99=M108,O108,".")))))))))))</f>
        <v>87000</v>
      </c>
      <c r="L99" s="39"/>
      <c r="M99" s="39" t="s">
        <v>91</v>
      </c>
      <c r="N99" s="39"/>
      <c r="O99" s="41">
        <f>+'Reconcilation worksheet'!Z31</f>
        <v>87000</v>
      </c>
      <c r="P99" s="39"/>
      <c r="Q99" s="29"/>
      <c r="R99" s="29"/>
      <c r="S99" s="29"/>
    </row>
    <row r="100" spans="1:19" x14ac:dyDescent="0.25">
      <c r="A100" s="111" t="s">
        <v>208</v>
      </c>
      <c r="B100" s="116" t="s">
        <v>169</v>
      </c>
      <c r="C100" s="112">
        <f>Loss_on_sale_of_Equipment*-1</f>
        <v>69000</v>
      </c>
      <c r="D100" s="62" t="s">
        <v>163</v>
      </c>
      <c r="E100" s="29"/>
      <c r="F100" s="39">
        <f t="shared" ref="F100:F108" si="10">IF(AND(M100="",A100=""),0,IF(A100&lt;&gt;J100,1,0))</f>
        <v>0</v>
      </c>
      <c r="G100" s="39"/>
      <c r="H100" s="39">
        <f t="shared" ref="H100:H108" si="11">IF(AND(O100="",C100=""),0,IF(C100&lt;&gt;K100,1,0))</f>
        <v>0</v>
      </c>
      <c r="I100" s="39"/>
      <c r="J100" s="39" t="str">
        <f>IF(A100=A99,".",IF(AND(A100="",M100&lt;&gt;""),".",IF(AND(A100&lt;&gt;"",M100=""),".",IF(OR(A100=M99,A100=M100,A100=M101,A100=M102,A100=M103,A100=M104,A100=M105,A100=M106,A100=M107,A100=M108),A100,"."))))</f>
        <v>Add  Loss on sale of Equipment</v>
      </c>
      <c r="K100" s="41">
        <f>IF(J100=".",".",IF(J100=M99,O99,IF(J100=M100,O100,IF(J100=M101,O101,IF(J100=M102,O102,IF(J100=M103,O103,IF(J100=M104,O104,IF(J100=M105,O105,IF(J100=M106,O106,IF(J100=M107,O107,IF(J100=M108,O108,".")))))))))))</f>
        <v>69000</v>
      </c>
      <c r="L100" s="39"/>
      <c r="M100" s="39" t="s">
        <v>208</v>
      </c>
      <c r="N100" s="39"/>
      <c r="O100" s="41">
        <f>+'Reconcilation worksheet'!Z34</f>
        <v>69000</v>
      </c>
      <c r="P100" s="39"/>
      <c r="Q100" s="29"/>
      <c r="R100" s="29"/>
      <c r="S100" s="29"/>
    </row>
    <row r="101" spans="1:19" x14ac:dyDescent="0.25">
      <c r="A101" s="111" t="s">
        <v>70</v>
      </c>
      <c r="B101" s="116" t="s">
        <v>169</v>
      </c>
      <c r="C101" s="112">
        <f>'Reconcilation worksheet'!E38*-1</f>
        <v>-58000</v>
      </c>
      <c r="D101" s="62" t="s">
        <v>163</v>
      </c>
      <c r="E101" s="29"/>
      <c r="F101" s="39">
        <f t="shared" si="10"/>
        <v>0</v>
      </c>
      <c r="G101" s="39"/>
      <c r="H101" s="39">
        <f t="shared" si="11"/>
        <v>0</v>
      </c>
      <c r="I101" s="39"/>
      <c r="J101" s="39" t="str">
        <f>IF(OR(A101=A99,A101=A100),".",IF(AND(A101="",M101&lt;&gt;""),".",IF(AND(A101&lt;&gt;"",M101=""),".",IF(OR(A101=M99,A101=M100,A101=M101,A101=M102,A101=M103,A101=M104,A101=M105,A101=M106,A101=M107,A101=M108),A101,"."))))</f>
        <v>Deduct increase in Accounts Receivable</v>
      </c>
      <c r="K101" s="41">
        <f>IF(J101=".",".",IF(J101=M99,O99,IF(J101=M100,O100,IF(J101=M101,O101,IF(J101=M102,O102,IF(J101=M103,O103,IF(J101=M104,O104,IF(J101=M105,O105,IF(J101=M106,O106,IF(J101=M107,O107,IF(J101=M108,O108,".")))))))))))</f>
        <v>-58000</v>
      </c>
      <c r="L101" s="39"/>
      <c r="M101" s="39" t="s">
        <v>70</v>
      </c>
      <c r="N101" s="39"/>
      <c r="O101" s="41">
        <f>-'Reconcilation worksheet'!Y38</f>
        <v>-58000</v>
      </c>
      <c r="P101" s="39"/>
      <c r="Q101" s="29"/>
      <c r="R101" s="29"/>
      <c r="S101" s="29"/>
    </row>
    <row r="102" spans="1:19" x14ac:dyDescent="0.25">
      <c r="A102" s="111" t="s">
        <v>135</v>
      </c>
      <c r="B102" s="116" t="s">
        <v>169</v>
      </c>
      <c r="C102" s="112">
        <f>'Reconcilation worksheet'!E39*-1</f>
        <v>-4000</v>
      </c>
      <c r="D102" s="62" t="s">
        <v>163</v>
      </c>
      <c r="E102" s="29"/>
      <c r="F102" s="39">
        <f t="shared" si="10"/>
        <v>0</v>
      </c>
      <c r="G102" s="39"/>
      <c r="H102" s="39">
        <f t="shared" si="11"/>
        <v>0</v>
      </c>
      <c r="I102" s="39"/>
      <c r="J102" s="39" t="str">
        <f>IF(OR(A102=A99,A102=A100,A102=A101),".",IF(AND(A102="",M102&lt;&gt;""),".",IF(AND(A102&lt;&gt;"",M102=""),".",IF(OR(A102=M99,A102=M100,A102=M101,A102=M102,A102=M103,A102=M104,A102=M105,A102=M106,A102=M107,A102=M108),A102,"."))))</f>
        <v>Deduct increase in Merchandise Inventory</v>
      </c>
      <c r="K102" s="41">
        <f>IF(J102=".",".",IF(J102=M99,O99,IF(J102=M100,O100,IF(J102=M101,O101,IF(J102=M102,O102,IF(J102=M103,O103,IF(J102=M104,O104,IF(J102=M105,O105,IF(J102=M106,O106,IF(J102=M107,O107,IF(J102=M108,O108,".")))))))))))</f>
        <v>-4000</v>
      </c>
      <c r="L102" s="39"/>
      <c r="M102" s="39" t="s">
        <v>135</v>
      </c>
      <c r="N102" s="39"/>
      <c r="O102" s="41">
        <f>-'Reconcilation worksheet'!Y39</f>
        <v>-4000</v>
      </c>
      <c r="P102" s="39"/>
      <c r="Q102" s="29"/>
      <c r="R102" s="29"/>
      <c r="S102" s="29"/>
    </row>
    <row r="103" spans="1:19" x14ac:dyDescent="0.25">
      <c r="A103" s="111" t="s">
        <v>81</v>
      </c>
      <c r="B103" s="116" t="s">
        <v>169</v>
      </c>
      <c r="C103" s="112">
        <f>'Reconcilation worksheet'!E47*-1</f>
        <v>-86000</v>
      </c>
      <c r="D103" s="62" t="s">
        <v>163</v>
      </c>
      <c r="E103" s="29"/>
      <c r="F103" s="39">
        <f t="shared" si="10"/>
        <v>0</v>
      </c>
      <c r="G103" s="39"/>
      <c r="H103" s="39">
        <f t="shared" si="11"/>
        <v>0</v>
      </c>
      <c r="I103" s="39"/>
      <c r="J103" s="39" t="str">
        <f>IF(OR(A103=A99,A103=A100,A103=A101,A103=A102),".",IF(AND(A103="",M103&lt;&gt;""),".",IF(AND(A103&lt;&gt;"",M103=""),".",IF(OR(A103=M99,A103=M100,A103=M101,A103=M102,A103=M103,A103=M104,A103=M105,A103=M106,A103=M107,A103=M108),A103,"."))))</f>
        <v>Deduct decrease in Accounts Payable</v>
      </c>
      <c r="K103" s="41">
        <f>IF(J103=".",".",IF(J103=M99,O99,IF(J103=M100,O100,IF(J103=M101,O101,IF(J103=M102,O102,IF(J103=M103,O103,IF(J103=M104,O104,IF(J103=M105,O105,IF(J103=M106,O106,IF(J103=M107,O107,IF(J103=M108,O108,".")))))))))))</f>
        <v>-86000</v>
      </c>
      <c r="L103" s="39"/>
      <c r="M103" s="39" t="s">
        <v>81</v>
      </c>
      <c r="N103" s="39"/>
      <c r="O103" s="41">
        <f>-'Reconcilation worksheet'!Y47</f>
        <v>-86000</v>
      </c>
      <c r="P103" s="39"/>
      <c r="Q103" s="29"/>
      <c r="R103" s="29"/>
      <c r="S103" s="29"/>
    </row>
    <row r="104" spans="1:19" x14ac:dyDescent="0.25">
      <c r="A104" s="111" t="s">
        <v>221</v>
      </c>
      <c r="B104" s="116" t="s">
        <v>169</v>
      </c>
      <c r="C104" s="112">
        <f>'Reconcilation worksheet'!E48</f>
        <v>2500</v>
      </c>
      <c r="D104" s="62" t="s">
        <v>163</v>
      </c>
      <c r="E104" s="29"/>
      <c r="F104" s="39">
        <f t="shared" si="10"/>
        <v>0</v>
      </c>
      <c r="G104" s="39"/>
      <c r="H104" s="39">
        <f t="shared" si="11"/>
        <v>0</v>
      </c>
      <c r="I104" s="39"/>
      <c r="J104" s="39" t="str">
        <f>IF(OR(A104=A99,A104=A100,A104=A101,A104=A102,A104=A103),".",IF(AND(A104="",M104&lt;&gt;""),".",IF(AND(A104&lt;&gt;"",M104=""),".",IF(OR(A104=M99,A104=M100,A104=M101,A104=M102,A104=M103,A104=M104,A104=M105,A104=M106,A104=M107,A104=M108),A104,"."))))</f>
        <v>Add increase in  Wages Payable</v>
      </c>
      <c r="K104" s="41">
        <f>IF(J104=".",".",IF(J104=M99,O99,IF(J104=M100,O100,IF(J104=M101,O101,IF(J104=M102,O102,IF(J104=M103,O103,IF(J104=M104,O104,IF(J104=M105,O105,IF(J104=M106,O106,IF(J104=M107,O107,IF(J104=M108,O108,".")))))))))))</f>
        <v>2500</v>
      </c>
      <c r="L104" s="39"/>
      <c r="M104" s="39" t="s">
        <v>221</v>
      </c>
      <c r="N104" s="39"/>
      <c r="O104" s="41">
        <f>+'Reconcilation worksheet'!Y48</f>
        <v>2500</v>
      </c>
      <c r="P104" s="39"/>
      <c r="Q104" s="29"/>
      <c r="R104" s="29"/>
      <c r="S104" s="29"/>
    </row>
    <row r="105" spans="1:19" x14ac:dyDescent="0.25">
      <c r="A105" s="111"/>
      <c r="B105" s="116" t="s">
        <v>169</v>
      </c>
      <c r="C105" s="112"/>
      <c r="D105" s="62" t="s">
        <v>163</v>
      </c>
      <c r="E105" s="29"/>
      <c r="F105" s="39">
        <f t="shared" si="10"/>
        <v>0</v>
      </c>
      <c r="G105" s="39"/>
      <c r="H105" s="39">
        <f t="shared" si="11"/>
        <v>0</v>
      </c>
      <c r="I105" s="39"/>
      <c r="J105" s="39">
        <f>IF(OR(A105=A99,A105=A100,A105=A101,A105=A102,A105=A103,A105=A104),".",IF(AND(A105="",M105&lt;&gt;""),".",IF(AND(A105&lt;&gt;"",M105=""),".",IF(OR(A105=M99,A105=M100,A105=M101,A105=M102,A105=M103,A105=M104,A105=M106,A105=M107,A105=M108),A105,"."))))</f>
        <v>0</v>
      </c>
      <c r="K105" s="41">
        <f>IF(J105=".",".",IF(J105=M99,O99,IF(J105=M100,O100,IF(J105=M101,O101,IF(J105=M102,O102,IF(J105=M103,O103,IF(J105=M104,O104,IF(J105=M105,O105,IF(J105=M106,O106,IF(J105=M107,O107,IF(J105=M108,O108,".")))))))))))</f>
        <v>0</v>
      </c>
      <c r="L105" s="39"/>
      <c r="M105" s="39"/>
      <c r="N105" s="39"/>
      <c r="O105" s="41"/>
      <c r="P105" s="39"/>
      <c r="Q105" s="29"/>
      <c r="R105" s="29"/>
      <c r="S105" s="29"/>
    </row>
    <row r="106" spans="1:19" x14ac:dyDescent="0.25">
      <c r="A106" s="111"/>
      <c r="B106" s="116" t="s">
        <v>169</v>
      </c>
      <c r="C106" s="112"/>
      <c r="D106" s="62" t="s">
        <v>163</v>
      </c>
      <c r="E106" s="29"/>
      <c r="F106" s="39">
        <f t="shared" si="10"/>
        <v>0</v>
      </c>
      <c r="G106" s="39"/>
      <c r="H106" s="39">
        <f t="shared" si="11"/>
        <v>0</v>
      </c>
      <c r="I106" s="39"/>
      <c r="J106" s="42" t="str">
        <f>IF(OR(A106=A99,A106=A100,A106=A101,A106=A102,A106=A103,A106=A104,A106=A105),".",IF(AND(A106="",M106&lt;&gt;""),".",IF(AND(A106&lt;&gt;"",M106=""),".",IF(OR(A106=M99,A106=M100,A106=M101,A106=M102,A106=M103,A106=M104,A106=M105,A106=M106,A106=M107,A106=M108),A106,"."))))</f>
        <v>.</v>
      </c>
      <c r="K106" s="43" t="str">
        <f>IF(J106=".",".",IF(J106=M99,O99,IF(J106=M100,O100,IF(J106=M101,O101,IF(J106=M102,O102,IF(J106=M103,O103,IF(J106=M104,O104,IF(J106=M105,O105,IF(J106=M106,O106,IF(J106=M107,O107,IF(J106=M108,O108,".")))))))))))</f>
        <v>.</v>
      </c>
      <c r="L106" s="39"/>
      <c r="M106" s="39"/>
      <c r="N106" s="41"/>
      <c r="O106" s="41"/>
      <c r="P106" s="39"/>
      <c r="Q106" s="29"/>
      <c r="R106" s="29"/>
      <c r="S106" s="29"/>
    </row>
    <row r="107" spans="1:19" x14ac:dyDescent="0.25">
      <c r="A107" s="111"/>
      <c r="B107" s="116" t="s">
        <v>169</v>
      </c>
      <c r="C107" s="112"/>
      <c r="D107" s="62" t="s">
        <v>163</v>
      </c>
      <c r="E107" s="29"/>
      <c r="F107" s="39">
        <f t="shared" si="10"/>
        <v>0</v>
      </c>
      <c r="G107" s="39"/>
      <c r="H107" s="39">
        <f t="shared" si="11"/>
        <v>0</v>
      </c>
      <c r="I107" s="39"/>
      <c r="J107" s="42" t="str">
        <f>IF(OR(A107=A99,A107=A100,A107=A101,A107=A102,A107=A103,A107=A104,A107=A105,A107=A106),".",IF(AND(A107="",M107&lt;&gt;""),".",IF(AND(A107&lt;&gt;"",M107=""),".",IF(OR(A107=M99,A107=M100,A107=M101,A107=M102,A107=M103,A107=M104,A107=M105,A107=M106,A107=M107,A107=M108),A107,"."))))</f>
        <v>.</v>
      </c>
      <c r="K107" s="43" t="str">
        <f>IF(J107=".",".",IF(J107=M99,O99,IF(J107=M100,O100,IF(J107=M101,O101,IF(J107=M102,O102,IF(J107=M103,O103,IF(J107=M104,O104,IF(J107=M105,O105,IF(J107=M106,O106,IF(J107=M107,O107,IF(J107=M108,O108,".")))))))))))</f>
        <v>.</v>
      </c>
      <c r="L107" s="39"/>
      <c r="M107" s="39"/>
      <c r="N107" s="41"/>
      <c r="O107" s="41"/>
      <c r="P107" s="39"/>
      <c r="Q107" s="29"/>
      <c r="R107" s="29"/>
      <c r="S107" s="29"/>
    </row>
    <row r="108" spans="1:19" x14ac:dyDescent="0.25">
      <c r="A108" s="111"/>
      <c r="B108" s="116" t="s">
        <v>169</v>
      </c>
      <c r="C108" s="118"/>
      <c r="D108" s="62" t="s">
        <v>163</v>
      </c>
      <c r="E108" s="29"/>
      <c r="F108" s="39">
        <f t="shared" si="10"/>
        <v>0</v>
      </c>
      <c r="G108" s="39"/>
      <c r="H108" s="39">
        <f t="shared" si="11"/>
        <v>0</v>
      </c>
      <c r="I108" s="39"/>
      <c r="J108" s="42" t="str">
        <f>IF(OR(A108=A99,A108=A100,A108=A101,A108=A102,A108=A103,A108=A104,A108=A105,A108=A106,A108=A107),".",IF(AND(A108="",M108&lt;&gt;""),".",IF(AND(A108&lt;&gt;"",M108=""),".",IF(OR(A108=M99,A108=M100,A108=M101,A108=M102,A108=M103,A108=M104,A108=M105,A108=M106,A108=M107,A108=M108),A108,"."))))</f>
        <v>.</v>
      </c>
      <c r="K108" s="43" t="str">
        <f>IF(J108=".",".",IF(J108=M99,O99,IF(J108=M100,O100,IF(J108=M101,O101,IF(J108=M102,O102,IF(J108=M103,O103,IF(J108=M104,O104,IF(J108=M105,O105,IF(J108=M106,O106,IF(J108=M107,O107,IF(J108=M108,O108,".")))))))))))</f>
        <v>.</v>
      </c>
      <c r="L108" s="39"/>
      <c r="M108" s="39"/>
      <c r="N108" s="41"/>
      <c r="O108" s="41"/>
      <c r="P108" s="39"/>
      <c r="Q108" s="29"/>
      <c r="R108" s="29"/>
      <c r="S108" s="29"/>
    </row>
    <row r="109" spans="1:19" ht="15.75" thickBot="1" x14ac:dyDescent="0.3">
      <c r="A109" s="114" t="s">
        <v>38</v>
      </c>
      <c r="B109" s="116" t="s">
        <v>169</v>
      </c>
      <c r="C109" s="119">
        <f>SUM(C96:C106)</f>
        <v>20000</v>
      </c>
      <c r="D109" s="62" t="s">
        <v>163</v>
      </c>
      <c r="E109" s="29"/>
      <c r="F109" s="39">
        <f>IF(A109&lt;&gt;M109,1,0)</f>
        <v>0</v>
      </c>
      <c r="G109" s="39"/>
      <c r="H109" s="39">
        <f t="shared" si="9"/>
        <v>0</v>
      </c>
      <c r="I109" s="39"/>
      <c r="J109" s="39"/>
      <c r="K109" s="41"/>
      <c r="L109" s="39"/>
      <c r="M109" s="39" t="s">
        <v>38</v>
      </c>
      <c r="N109" s="41"/>
      <c r="O109" s="41">
        <f>SUM(O98:O108)</f>
        <v>20000</v>
      </c>
      <c r="P109" s="41">
        <f>+O73</f>
        <v>20000</v>
      </c>
      <c r="Q109" s="29"/>
      <c r="R109" s="29"/>
      <c r="S109" s="29"/>
    </row>
    <row r="110" spans="1:19" ht="15.75" thickTop="1" x14ac:dyDescent="0.25">
      <c r="A110" s="61" t="s">
        <v>163</v>
      </c>
      <c r="B110" s="61" t="s">
        <v>163</v>
      </c>
      <c r="C110" s="61" t="s">
        <v>163</v>
      </c>
      <c r="D110" s="62" t="s">
        <v>163</v>
      </c>
      <c r="E110" s="29"/>
      <c r="F110" s="39"/>
      <c r="G110" s="39"/>
      <c r="H110" s="39"/>
      <c r="I110" s="39"/>
      <c r="J110" s="39"/>
      <c r="K110" s="39"/>
      <c r="L110" s="39"/>
      <c r="M110" s="39"/>
      <c r="N110" s="39"/>
      <c r="O110" s="39"/>
      <c r="P110" s="39"/>
      <c r="Q110" s="29"/>
      <c r="R110" s="29"/>
      <c r="S110" s="29"/>
    </row>
    <row r="111" spans="1:19" x14ac:dyDescent="0.25">
      <c r="A111" s="52" t="s">
        <v>112</v>
      </c>
      <c r="B111" s="52">
        <f>COUNTA(M62:O109)</f>
        <v>56</v>
      </c>
      <c r="E111" s="29"/>
      <c r="F111" s="39"/>
      <c r="I111" s="39"/>
      <c r="J111" s="39"/>
      <c r="K111" s="39"/>
      <c r="L111" s="39"/>
      <c r="M111" s="39"/>
      <c r="N111" s="39"/>
      <c r="O111" s="39"/>
      <c r="P111" s="39"/>
      <c r="Q111" s="29"/>
      <c r="R111" s="29"/>
      <c r="S111" s="29"/>
    </row>
    <row r="112" spans="1:19" x14ac:dyDescent="0.25">
      <c r="A112" s="52" t="s">
        <v>113</v>
      </c>
      <c r="B112" s="52">
        <f>SUM(F62:H109)</f>
        <v>0</v>
      </c>
      <c r="E112" s="29"/>
      <c r="F112" s="39"/>
      <c r="I112" s="39"/>
      <c r="J112" s="39"/>
      <c r="K112" s="39"/>
      <c r="L112" s="39"/>
      <c r="M112" s="39"/>
      <c r="N112" s="39"/>
      <c r="O112" s="39"/>
      <c r="P112" s="39"/>
      <c r="Q112" s="29"/>
      <c r="R112" s="29"/>
      <c r="S112" s="29"/>
    </row>
    <row r="113" spans="1:19" x14ac:dyDescent="0.25">
      <c r="A113" s="52" t="s">
        <v>114</v>
      </c>
      <c r="B113" s="52">
        <f>+B111-B112</f>
        <v>56</v>
      </c>
      <c r="E113" s="29"/>
      <c r="F113" s="39"/>
      <c r="I113" s="39"/>
      <c r="J113" s="39"/>
      <c r="K113" s="39"/>
      <c r="L113" s="39"/>
      <c r="M113" s="39"/>
      <c r="N113" s="39"/>
      <c r="O113" s="39"/>
      <c r="P113" s="39"/>
      <c r="Q113" s="29"/>
      <c r="R113" s="29"/>
      <c r="S113" s="29"/>
    </row>
    <row r="114" spans="1:19" x14ac:dyDescent="0.25">
      <c r="E114" s="29"/>
      <c r="F114" s="39"/>
      <c r="G114" s="39"/>
      <c r="H114" s="39"/>
      <c r="I114" s="39"/>
      <c r="J114" s="39"/>
      <c r="K114" s="39"/>
      <c r="L114" s="39"/>
      <c r="M114" s="39"/>
      <c r="N114" s="39"/>
      <c r="O114" s="39"/>
      <c r="P114" s="39"/>
      <c r="Q114" s="29"/>
      <c r="R114" s="29"/>
      <c r="S114" s="29"/>
    </row>
    <row r="115" spans="1:19" x14ac:dyDescent="0.25">
      <c r="E115" s="29"/>
      <c r="F115" s="29"/>
      <c r="G115" s="29"/>
      <c r="H115" s="29"/>
      <c r="I115" s="29"/>
      <c r="J115" s="29"/>
      <c r="K115" s="29"/>
      <c r="L115" s="29"/>
      <c r="M115" s="29"/>
      <c r="N115" s="29"/>
      <c r="O115" s="29"/>
      <c r="P115" s="29"/>
      <c r="Q115" s="29"/>
      <c r="R115" s="29"/>
      <c r="S115" s="29"/>
    </row>
    <row r="116" spans="1:19" x14ac:dyDescent="0.25">
      <c r="E116" s="29"/>
      <c r="F116" s="29"/>
      <c r="G116" s="29"/>
      <c r="H116" s="29"/>
      <c r="I116" s="29"/>
      <c r="J116" s="29"/>
      <c r="K116" s="29"/>
      <c r="L116" s="29"/>
      <c r="M116" s="29"/>
      <c r="N116" s="29"/>
      <c r="O116" s="29"/>
      <c r="P116" s="29"/>
      <c r="Q116" s="29"/>
      <c r="R116" s="29"/>
      <c r="S116" s="29"/>
    </row>
  </sheetData>
  <sheetProtection selectLockedCells="1"/>
  <mergeCells count="17">
    <mergeCell ref="M64:O64"/>
    <mergeCell ref="A62:C62"/>
    <mergeCell ref="A63:C63"/>
    <mergeCell ref="A64:C64"/>
    <mergeCell ref="A58:J58"/>
    <mergeCell ref="A59:J59"/>
    <mergeCell ref="A60:J60"/>
    <mergeCell ref="A55:J55"/>
    <mergeCell ref="A6:J6"/>
    <mergeCell ref="A7:J7"/>
    <mergeCell ref="M62:O62"/>
    <mergeCell ref="M63:O63"/>
    <mergeCell ref="A52:J52"/>
    <mergeCell ref="A56:J56"/>
    <mergeCell ref="A57:J57"/>
    <mergeCell ref="A53:J53"/>
    <mergeCell ref="A54:J54"/>
  </mergeCells>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28082C89-8F08-40CA-83A1-43903FC58840}">
          <x14:formula1>
            <xm:f>lists!$R$11:$R$42</xm:f>
          </x14:formula1>
          <xm:sqref>A62:C64 A66 A89:A92 A94 A97 A109 A73:A74 A81:A82 M81:M82 M66 M89:M92 M94 M97 M109 M73:M74 M62:O64</xm:sqref>
        </x14:dataValidation>
        <x14:dataValidation type="list" allowBlank="1" showInputMessage="1" showErrorMessage="1" xr:uid="{E8E210B5-A63E-4DBC-BDAA-39225F9686B9}">
          <x14:formula1>
            <xm:f>lists!$N$19:$N$31</xm:f>
          </x14:formula1>
          <xm:sqref>A67:A72 A75:A80 A83:A88 M67:M72 M75:M80 M83:M88 A95:A96 M95:M96</xm:sqref>
        </x14:dataValidation>
        <x14:dataValidation type="list" allowBlank="1" showInputMessage="1" showErrorMessage="1" xr:uid="{437D47BB-6AC2-48C6-85BA-0FECAF71F012}">
          <x14:formula1>
            <xm:f>lists!$R$11:$R$41</xm:f>
          </x14:formula1>
          <xm:sqref>A98 M98</xm:sqref>
        </x14:dataValidation>
        <x14:dataValidation type="list" allowBlank="1" showInputMessage="1" showErrorMessage="1" xr:uid="{7419626E-43C4-4544-9541-0C487818E5B9}">
          <x14:formula1>
            <xm:f>lists!$H$31:$H$114</xm:f>
          </x14:formula1>
          <xm:sqref>M99:M108 A99:A108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311FD-700D-4A91-8AFC-222BDBE1068C}">
  <dimension ref="A1:AB63"/>
  <sheetViews>
    <sheetView workbookViewId="0">
      <pane ySplit="1" topLeftCell="A33" activePane="bottomLeft" state="frozen"/>
      <selection pane="bottomLeft" activeCell="E48" sqref="E48"/>
    </sheetView>
  </sheetViews>
  <sheetFormatPr defaultRowHeight="15" x14ac:dyDescent="0.25"/>
  <cols>
    <col min="1" max="1" width="5.42578125" customWidth="1"/>
    <col min="2" max="2" width="24.42578125" bestFit="1" customWidth="1"/>
    <col min="4" max="4" width="10.7109375" customWidth="1"/>
    <col min="7" max="7" width="3" customWidth="1"/>
    <col min="8" max="13" width="9.140625" customWidth="1"/>
    <col min="14" max="14" width="3" customWidth="1"/>
    <col min="15" max="19" width="9.140625" customWidth="1"/>
    <col min="20" max="20" width="3" customWidth="1"/>
    <col min="21" max="21" width="5.42578125" customWidth="1"/>
    <col min="22" max="22" width="24.42578125" customWidth="1"/>
    <col min="23" max="23" width="9.140625" customWidth="1"/>
    <col min="24" max="24" width="10.7109375" customWidth="1"/>
    <col min="25" max="27" width="9.140625" customWidth="1"/>
  </cols>
  <sheetData>
    <row r="1" spans="1:13" x14ac:dyDescent="0.25">
      <c r="A1" s="102" t="str">
        <f>"Monitor cell:  "&amp;ADDRESS(ROW(B58),COLUMN(B58),4)</f>
        <v>Monitor cell:  B58</v>
      </c>
      <c r="B1" s="102"/>
      <c r="C1" s="103">
        <f>+B58</f>
        <v>24</v>
      </c>
      <c r="D1" s="53"/>
      <c r="E1" s="53"/>
      <c r="F1" s="53"/>
      <c r="G1" s="62" t="s">
        <v>163</v>
      </c>
      <c r="H1" s="53"/>
      <c r="I1" s="53"/>
      <c r="J1" s="53"/>
      <c r="K1" s="53"/>
      <c r="L1" s="53"/>
      <c r="M1" s="53"/>
    </row>
    <row r="2" spans="1:13" x14ac:dyDescent="0.25">
      <c r="A2" s="102" t="str">
        <f>"answers: "&amp;B56</f>
        <v>answers: 24</v>
      </c>
      <c r="B2" s="102"/>
      <c r="C2" s="104"/>
      <c r="D2" s="105"/>
      <c r="E2" s="105"/>
      <c r="F2" s="53"/>
      <c r="G2" s="62" t="s">
        <v>163</v>
      </c>
      <c r="H2" s="53"/>
      <c r="I2" s="53"/>
      <c r="J2" s="53"/>
      <c r="K2" s="53"/>
      <c r="L2" s="53"/>
      <c r="M2" s="53"/>
    </row>
    <row r="3" spans="1:13" x14ac:dyDescent="0.25">
      <c r="A3" s="106" t="s">
        <v>184</v>
      </c>
      <c r="B3" s="53"/>
      <c r="C3" s="53"/>
      <c r="D3" s="53"/>
      <c r="E3" s="53"/>
      <c r="F3" s="53"/>
      <c r="G3" s="62" t="s">
        <v>163</v>
      </c>
      <c r="H3" s="53"/>
      <c r="I3" s="53"/>
      <c r="J3" s="53"/>
      <c r="K3" s="53"/>
      <c r="L3" s="53"/>
      <c r="M3" s="53"/>
    </row>
    <row r="4" spans="1:13" x14ac:dyDescent="0.25">
      <c r="A4" s="106" t="s">
        <v>194</v>
      </c>
      <c r="B4" s="106"/>
      <c r="C4" s="106"/>
      <c r="D4" s="107"/>
      <c r="E4" s="107"/>
      <c r="F4" s="53"/>
      <c r="G4" s="62" t="s">
        <v>163</v>
      </c>
      <c r="H4" s="53"/>
      <c r="I4" s="53"/>
      <c r="J4" s="53"/>
      <c r="K4" s="53"/>
      <c r="L4" s="53"/>
      <c r="M4" s="53"/>
    </row>
    <row r="5" spans="1:13" x14ac:dyDescent="0.25">
      <c r="A5" s="102" t="str">
        <f>"Company name:  "&amp;lists!B1</f>
        <v>Company name:  Fox Corporation</v>
      </c>
      <c r="B5" s="102"/>
      <c r="C5" s="53"/>
      <c r="D5" s="53"/>
      <c r="E5" s="53"/>
      <c r="F5" s="53"/>
      <c r="G5" s="62" t="s">
        <v>163</v>
      </c>
      <c r="H5" s="53"/>
      <c r="I5" s="53"/>
      <c r="J5" s="53"/>
      <c r="K5" s="53"/>
      <c r="L5" s="53"/>
      <c r="M5" s="53"/>
    </row>
    <row r="6" spans="1:13" ht="15" customHeight="1" x14ac:dyDescent="0.25">
      <c r="A6" s="136" t="s">
        <v>162</v>
      </c>
      <c r="B6" s="136"/>
      <c r="C6" s="136"/>
      <c r="D6" s="136"/>
      <c r="E6" s="136"/>
      <c r="F6" s="136"/>
      <c r="G6" s="62" t="s">
        <v>163</v>
      </c>
      <c r="H6" s="53"/>
      <c r="I6" s="53"/>
      <c r="J6" s="53"/>
      <c r="K6" s="53"/>
      <c r="L6" s="53"/>
      <c r="M6" s="53"/>
    </row>
    <row r="7" spans="1:13" ht="30" customHeight="1" x14ac:dyDescent="0.25">
      <c r="A7" s="136" t="s">
        <v>185</v>
      </c>
      <c r="B7" s="136"/>
      <c r="C7" s="136"/>
      <c r="D7" s="136"/>
      <c r="E7" s="136"/>
      <c r="F7" s="136"/>
      <c r="G7" s="62" t="s">
        <v>163</v>
      </c>
      <c r="H7" s="53"/>
      <c r="I7" s="53"/>
      <c r="J7" s="53"/>
      <c r="K7" s="53"/>
      <c r="L7" s="53"/>
      <c r="M7" s="53"/>
    </row>
    <row r="8" spans="1:13" x14ac:dyDescent="0.25">
      <c r="A8" s="136" t="s">
        <v>188</v>
      </c>
      <c r="B8" s="136"/>
      <c r="C8" s="136"/>
      <c r="D8" s="136"/>
      <c r="E8" s="136"/>
      <c r="F8" s="136"/>
      <c r="G8" s="62" t="s">
        <v>163</v>
      </c>
      <c r="H8" s="53"/>
      <c r="I8" s="53"/>
      <c r="J8" s="53"/>
      <c r="K8" s="53"/>
      <c r="L8" s="53"/>
      <c r="M8" s="53"/>
    </row>
    <row r="9" spans="1:13" hidden="1" x14ac:dyDescent="0.25">
      <c r="A9" s="136"/>
      <c r="B9" s="136"/>
      <c r="C9" s="136"/>
      <c r="D9" s="136"/>
      <c r="E9" s="136"/>
      <c r="F9" s="136"/>
      <c r="G9" s="62" t="s">
        <v>163</v>
      </c>
      <c r="H9" s="53"/>
      <c r="I9" s="53"/>
      <c r="J9" s="53"/>
      <c r="K9" s="53"/>
      <c r="L9" s="53"/>
      <c r="M9" s="53"/>
    </row>
    <row r="10" spans="1:13" hidden="1" x14ac:dyDescent="0.25">
      <c r="A10" s="136"/>
      <c r="B10" s="136"/>
      <c r="C10" s="136"/>
      <c r="D10" s="136"/>
      <c r="E10" s="136"/>
      <c r="F10" s="136"/>
      <c r="G10" s="62" t="s">
        <v>163</v>
      </c>
      <c r="H10" s="53"/>
      <c r="I10" s="53"/>
      <c r="J10" s="53"/>
      <c r="K10" s="53"/>
      <c r="L10" s="53"/>
      <c r="M10" s="53"/>
    </row>
    <row r="11" spans="1:13" hidden="1" x14ac:dyDescent="0.25">
      <c r="A11" s="136"/>
      <c r="B11" s="136"/>
      <c r="C11" s="136"/>
      <c r="D11" s="136"/>
      <c r="E11" s="136"/>
      <c r="F11" s="136"/>
      <c r="G11" s="62" t="s">
        <v>163</v>
      </c>
      <c r="H11" s="53"/>
      <c r="I11" s="53"/>
      <c r="J11" s="53"/>
      <c r="K11" s="53"/>
      <c r="L11" s="53"/>
      <c r="M11" s="53"/>
    </row>
    <row r="12" spans="1:13" hidden="1" x14ac:dyDescent="0.25">
      <c r="A12" s="136"/>
      <c r="B12" s="136"/>
      <c r="C12" s="136"/>
      <c r="D12" s="136"/>
      <c r="E12" s="136"/>
      <c r="F12" s="136"/>
      <c r="G12" s="62" t="s">
        <v>163</v>
      </c>
      <c r="H12" s="53"/>
      <c r="I12" s="53"/>
      <c r="J12" s="53"/>
      <c r="K12" s="53"/>
      <c r="L12" s="53"/>
      <c r="M12" s="53"/>
    </row>
    <row r="13" spans="1:13" hidden="1" x14ac:dyDescent="0.25">
      <c r="A13" s="136"/>
      <c r="B13" s="136"/>
      <c r="C13" s="136"/>
      <c r="D13" s="136"/>
      <c r="E13" s="136"/>
      <c r="F13" s="136"/>
      <c r="G13" s="62" t="s">
        <v>163</v>
      </c>
      <c r="H13" s="53"/>
      <c r="I13" s="53"/>
      <c r="J13" s="53"/>
      <c r="K13" s="53"/>
      <c r="L13" s="53"/>
      <c r="M13" s="53"/>
    </row>
    <row r="14" spans="1:13" hidden="1" x14ac:dyDescent="0.25">
      <c r="A14" s="136"/>
      <c r="B14" s="136"/>
      <c r="C14" s="136"/>
      <c r="D14" s="136"/>
      <c r="E14" s="136"/>
      <c r="F14" s="136"/>
      <c r="G14" s="62" t="s">
        <v>163</v>
      </c>
      <c r="H14" s="53"/>
      <c r="I14" s="53"/>
      <c r="J14" s="53"/>
      <c r="K14" s="53"/>
      <c r="L14" s="53"/>
      <c r="M14" s="53"/>
    </row>
    <row r="15" spans="1:13" hidden="1" x14ac:dyDescent="0.25">
      <c r="A15" s="136"/>
      <c r="B15" s="136"/>
      <c r="C15" s="136"/>
      <c r="D15" s="136"/>
      <c r="E15" s="136"/>
      <c r="F15" s="136"/>
      <c r="G15" s="62" t="s">
        <v>163</v>
      </c>
      <c r="H15" s="53"/>
      <c r="I15" s="53"/>
      <c r="J15" s="53"/>
      <c r="K15" s="53"/>
      <c r="L15" s="53"/>
      <c r="M15" s="53"/>
    </row>
    <row r="16" spans="1:13" hidden="1" x14ac:dyDescent="0.25">
      <c r="A16" s="136"/>
      <c r="B16" s="136"/>
      <c r="C16" s="136"/>
      <c r="D16" s="136"/>
      <c r="E16" s="136"/>
      <c r="F16" s="136"/>
      <c r="G16" s="62" t="s">
        <v>163</v>
      </c>
      <c r="H16" s="53"/>
      <c r="I16" s="53"/>
      <c r="J16" s="53"/>
      <c r="K16" s="53"/>
      <c r="L16" s="53"/>
      <c r="M16" s="53"/>
    </row>
    <row r="17" spans="1:28" hidden="1" x14ac:dyDescent="0.25">
      <c r="A17" s="136"/>
      <c r="B17" s="136"/>
      <c r="C17" s="136"/>
      <c r="D17" s="136"/>
      <c r="E17" s="136"/>
      <c r="F17" s="136"/>
      <c r="G17" s="62" t="s">
        <v>163</v>
      </c>
      <c r="H17" s="53"/>
      <c r="I17" s="53"/>
      <c r="J17" s="53"/>
      <c r="K17" s="53"/>
      <c r="L17" s="53"/>
      <c r="M17" s="53"/>
    </row>
    <row r="18" spans="1:28" hidden="1" x14ac:dyDescent="0.25">
      <c r="A18" s="136"/>
      <c r="B18" s="136"/>
      <c r="C18" s="136"/>
      <c r="D18" s="136"/>
      <c r="E18" s="136"/>
      <c r="F18" s="136"/>
      <c r="G18" s="62" t="s">
        <v>163</v>
      </c>
      <c r="H18" s="53"/>
      <c r="I18" s="53"/>
      <c r="J18" s="53"/>
      <c r="K18" s="53"/>
      <c r="L18" s="53"/>
      <c r="M18" s="53"/>
    </row>
    <row r="19" spans="1:28" hidden="1" x14ac:dyDescent="0.25">
      <c r="A19" s="136"/>
      <c r="B19" s="136"/>
      <c r="C19" s="136"/>
      <c r="D19" s="136"/>
      <c r="E19" s="136"/>
      <c r="F19" s="136"/>
      <c r="G19" s="62" t="s">
        <v>163</v>
      </c>
      <c r="H19" s="53"/>
      <c r="I19" s="53"/>
      <c r="J19" s="53"/>
      <c r="K19" s="53"/>
      <c r="L19" s="53"/>
      <c r="M19" s="53"/>
    </row>
    <row r="20" spans="1:28" hidden="1" x14ac:dyDescent="0.25">
      <c r="A20" s="136"/>
      <c r="B20" s="136"/>
      <c r="C20" s="136"/>
      <c r="D20" s="136"/>
      <c r="E20" s="136"/>
      <c r="F20" s="136"/>
      <c r="G20" s="62" t="s">
        <v>163</v>
      </c>
      <c r="H20" s="53"/>
      <c r="I20" s="53"/>
      <c r="J20" s="53"/>
      <c r="K20" s="53"/>
      <c r="L20" s="53"/>
      <c r="M20" s="53"/>
    </row>
    <row r="21" spans="1:28" x14ac:dyDescent="0.25">
      <c r="A21" s="136" t="s">
        <v>174</v>
      </c>
      <c r="B21" s="136"/>
      <c r="C21" s="136"/>
      <c r="D21" s="136"/>
      <c r="E21" s="136"/>
      <c r="F21" s="136"/>
      <c r="G21" s="62" t="s">
        <v>163</v>
      </c>
      <c r="H21" s="53"/>
      <c r="I21" s="53"/>
      <c r="J21" s="53"/>
      <c r="K21" s="53"/>
      <c r="L21" s="53"/>
      <c r="M21" s="53"/>
    </row>
    <row r="22" spans="1:28" x14ac:dyDescent="0.25">
      <c r="A22" s="136" t="s">
        <v>187</v>
      </c>
      <c r="B22" s="136"/>
      <c r="C22" s="136"/>
      <c r="D22" s="136"/>
      <c r="E22" s="136"/>
      <c r="F22" s="136"/>
      <c r="G22" s="62" t="s">
        <v>163</v>
      </c>
      <c r="H22" s="53"/>
      <c r="I22" s="53"/>
      <c r="J22" s="53"/>
      <c r="K22" s="53"/>
      <c r="L22" s="53"/>
      <c r="M22" s="53"/>
    </row>
    <row r="23" spans="1:28" ht="30.75" customHeight="1" x14ac:dyDescent="0.25">
      <c r="A23" s="136" t="s">
        <v>193</v>
      </c>
      <c r="B23" s="136"/>
      <c r="C23" s="136"/>
      <c r="D23" s="136"/>
      <c r="E23" s="136"/>
      <c r="F23" s="136"/>
      <c r="G23" s="62" t="s">
        <v>163</v>
      </c>
      <c r="H23" s="53"/>
      <c r="I23" s="53"/>
      <c r="J23" s="53"/>
      <c r="K23" s="53"/>
      <c r="L23" s="53"/>
      <c r="M23" s="53"/>
    </row>
    <row r="24" spans="1:28" hidden="1" x14ac:dyDescent="0.25">
      <c r="A24" s="136"/>
      <c r="B24" s="136"/>
      <c r="C24" s="136"/>
      <c r="D24" s="136"/>
      <c r="E24" s="136"/>
      <c r="F24" s="136"/>
      <c r="G24" s="62" t="s">
        <v>163</v>
      </c>
      <c r="H24" s="53"/>
      <c r="I24" s="53"/>
      <c r="J24" s="53"/>
      <c r="K24" s="53"/>
      <c r="L24" s="53"/>
      <c r="M24" s="53"/>
    </row>
    <row r="25" spans="1:28" hidden="1" x14ac:dyDescent="0.25">
      <c r="A25" s="136"/>
      <c r="B25" s="136"/>
      <c r="C25" s="136"/>
      <c r="D25" s="136"/>
      <c r="E25" s="136"/>
      <c r="F25" s="136"/>
      <c r="G25" s="62" t="s">
        <v>163</v>
      </c>
      <c r="H25" s="53"/>
      <c r="I25" s="53"/>
      <c r="J25" s="53"/>
      <c r="K25" s="53"/>
      <c r="L25" s="53"/>
      <c r="M25" s="53"/>
    </row>
    <row r="26" spans="1:28" hidden="1" x14ac:dyDescent="0.25">
      <c r="A26" s="136"/>
      <c r="B26" s="136"/>
      <c r="C26" s="136"/>
      <c r="D26" s="136"/>
      <c r="E26" s="136"/>
      <c r="F26" s="136"/>
      <c r="G26" s="62" t="s">
        <v>163</v>
      </c>
      <c r="H26" s="53"/>
      <c r="I26" s="53"/>
      <c r="J26" s="53"/>
      <c r="K26" s="53"/>
      <c r="L26" s="53"/>
      <c r="M26" s="53"/>
    </row>
    <row r="27" spans="1:28" hidden="1" x14ac:dyDescent="0.25">
      <c r="A27" s="136"/>
      <c r="B27" s="136"/>
      <c r="C27" s="136"/>
      <c r="D27" s="136"/>
      <c r="E27" s="136"/>
      <c r="F27" s="136"/>
      <c r="G27" s="62" t="s">
        <v>163</v>
      </c>
      <c r="H27" s="53"/>
      <c r="I27" s="53"/>
      <c r="J27" s="53"/>
      <c r="K27" s="53"/>
      <c r="L27" s="53"/>
      <c r="M27" s="53"/>
    </row>
    <row r="28" spans="1:28" x14ac:dyDescent="0.25">
      <c r="A28" s="61" t="s">
        <v>163</v>
      </c>
      <c r="B28" s="61" t="s">
        <v>163</v>
      </c>
      <c r="C28" s="61" t="s">
        <v>163</v>
      </c>
      <c r="D28" s="61" t="s">
        <v>163</v>
      </c>
      <c r="E28" s="61" t="s">
        <v>163</v>
      </c>
      <c r="F28" s="61" t="s">
        <v>163</v>
      </c>
      <c r="G28" s="62" t="s">
        <v>163</v>
      </c>
      <c r="H28" s="53"/>
      <c r="I28" s="53"/>
      <c r="J28" s="53"/>
      <c r="K28" s="53"/>
      <c r="L28" s="53"/>
      <c r="M28" s="53"/>
    </row>
    <row r="29" spans="1:28" x14ac:dyDescent="0.25">
      <c r="A29" s="61" t="s">
        <v>163</v>
      </c>
      <c r="B29" s="157" t="s">
        <v>100</v>
      </c>
      <c r="C29" s="158"/>
      <c r="D29" s="158"/>
      <c r="E29" s="158"/>
      <c r="F29" s="158"/>
      <c r="G29" s="62" t="s">
        <v>163</v>
      </c>
      <c r="H29" s="63"/>
      <c r="I29" s="63"/>
      <c r="J29" s="63"/>
      <c r="K29" s="63"/>
      <c r="L29" s="63"/>
      <c r="M29" s="63"/>
      <c r="N29" s="60"/>
      <c r="O29" s="40" t="s">
        <v>115</v>
      </c>
      <c r="P29" s="40"/>
      <c r="Q29" s="40"/>
      <c r="R29" s="40"/>
      <c r="S29" s="40"/>
      <c r="T29" s="39"/>
      <c r="U29" s="64" t="s">
        <v>100</v>
      </c>
      <c r="V29" s="64"/>
      <c r="W29" s="64"/>
      <c r="X29" s="64"/>
      <c r="Y29" s="64"/>
      <c r="Z29" s="64"/>
      <c r="AA29" s="39"/>
      <c r="AB29" s="29"/>
    </row>
    <row r="30" spans="1:28" x14ac:dyDescent="0.25">
      <c r="A30" s="61" t="s">
        <v>163</v>
      </c>
      <c r="B30" s="159" t="s">
        <v>189</v>
      </c>
      <c r="C30" s="159"/>
      <c r="D30" s="159"/>
      <c r="E30" s="159"/>
      <c r="F30" s="159"/>
      <c r="G30" s="62" t="s">
        <v>163</v>
      </c>
      <c r="H30" s="39"/>
      <c r="I30" s="39"/>
      <c r="J30" s="39"/>
      <c r="K30" s="39"/>
      <c r="L30" s="39"/>
      <c r="M30" s="39"/>
      <c r="N30" s="39"/>
      <c r="O30" s="39"/>
      <c r="P30" s="39"/>
      <c r="Q30" s="39"/>
      <c r="R30" s="39"/>
      <c r="S30" s="39"/>
      <c r="T30" s="39"/>
      <c r="U30" s="39" t="s">
        <v>101</v>
      </c>
      <c r="V30" s="39"/>
      <c r="W30" s="39"/>
      <c r="X30" s="39"/>
      <c r="Y30" s="39"/>
      <c r="Z30" s="39"/>
      <c r="AA30" s="39"/>
      <c r="AB30" s="29"/>
    </row>
    <row r="31" spans="1:28" x14ac:dyDescent="0.25">
      <c r="A31" s="61" t="s">
        <v>163</v>
      </c>
      <c r="B31" s="151" t="s">
        <v>7</v>
      </c>
      <c r="C31" s="152"/>
      <c r="D31" s="152"/>
      <c r="E31" s="153"/>
      <c r="F31" s="121">
        <f>Depreciation_Expense</f>
        <v>87000</v>
      </c>
      <c r="G31" s="62" t="s">
        <v>163</v>
      </c>
      <c r="H31" s="65">
        <f>IF(AND(V31="",B31=""),0,IF(B31&lt;&gt;O31,1,0))</f>
        <v>0</v>
      </c>
      <c r="I31" s="65"/>
      <c r="J31" s="65"/>
      <c r="K31" s="65"/>
      <c r="L31" s="65">
        <f>IF(AND(Z31=0,F31=""),0,IF(F31&lt;&gt;S31,1,0))</f>
        <v>0</v>
      </c>
      <c r="M31" s="65"/>
      <c r="N31" s="39"/>
      <c r="O31" s="52" t="str">
        <f>IF(AND(B31="",V31&lt;&gt;""),".",IF(AND(B31&lt;&gt;"",V31=""),".",IF(OR(B31=V31,B31=V32),B31,".")))</f>
        <v>Depreciation Expense</v>
      </c>
      <c r="P31" s="52"/>
      <c r="Q31" s="52"/>
      <c r="R31" s="52"/>
      <c r="S31" s="52">
        <f>IF($O31=".",".",IF($O31=$V31,Z31,IF($O31=$V32,Z32,".")))</f>
        <v>87000</v>
      </c>
      <c r="T31" s="39"/>
      <c r="U31" s="66"/>
      <c r="V31" s="67" t="s">
        <v>7</v>
      </c>
      <c r="W31" s="67"/>
      <c r="X31" s="67"/>
      <c r="Y31" s="68"/>
      <c r="Z31" s="69">
        <f>+Information!G12</f>
        <v>87000</v>
      </c>
      <c r="AA31" s="39"/>
      <c r="AB31" s="29"/>
    </row>
    <row r="32" spans="1:28" x14ac:dyDescent="0.25">
      <c r="A32" s="61" t="s">
        <v>163</v>
      </c>
      <c r="B32" s="154"/>
      <c r="C32" s="155"/>
      <c r="D32" s="155"/>
      <c r="E32" s="156"/>
      <c r="F32" s="122"/>
      <c r="G32" s="62" t="s">
        <v>163</v>
      </c>
      <c r="H32" s="65">
        <f>IF(AND(V32="",B32=""),0,IF(B32&lt;&gt;O32,1,0))</f>
        <v>0</v>
      </c>
      <c r="I32" s="65"/>
      <c r="J32" s="65"/>
      <c r="K32" s="65"/>
      <c r="L32" s="65">
        <f>IF(AND(Z32=0,F32=""),0,IF(F32&lt;&gt;S32,1,0))</f>
        <v>0</v>
      </c>
      <c r="M32" s="65"/>
      <c r="N32" s="39"/>
      <c r="O32" s="52">
        <f>IF(B32=B31,".",IF(AND(B32="",V32&lt;&gt;""),".",IF(AND(B32&lt;&gt;"",V32=""),".",IF(OR(B32=V31,B32=V32),B32,"."))))</f>
        <v>0</v>
      </c>
      <c r="P32" s="52"/>
      <c r="Q32" s="52"/>
      <c r="R32" s="52"/>
      <c r="S32" s="52">
        <f>IF($O32=".",".",IF($O32=$V31,Z31,IF($O32=$V32,Z32,".")))</f>
        <v>0</v>
      </c>
      <c r="T32" s="39"/>
      <c r="U32" s="66"/>
      <c r="V32" s="70"/>
      <c r="W32" s="70"/>
      <c r="X32" s="70"/>
      <c r="Y32" s="71"/>
      <c r="Z32" s="72"/>
      <c r="AA32" s="39"/>
      <c r="AB32" s="29"/>
    </row>
    <row r="33" spans="1:28" x14ac:dyDescent="0.25">
      <c r="A33" s="61" t="s">
        <v>163</v>
      </c>
      <c r="B33" s="160" t="s">
        <v>190</v>
      </c>
      <c r="C33" s="160"/>
      <c r="D33" s="160"/>
      <c r="E33" s="160"/>
      <c r="F33" s="160"/>
      <c r="G33" s="62" t="s">
        <v>163</v>
      </c>
      <c r="H33" s="65"/>
      <c r="I33" s="65"/>
      <c r="J33" s="65"/>
      <c r="K33" s="65"/>
      <c r="L33" s="65"/>
      <c r="M33" s="65"/>
      <c r="N33" s="39"/>
      <c r="O33" s="39"/>
      <c r="P33" s="39"/>
      <c r="Q33" s="39"/>
      <c r="R33" s="39"/>
      <c r="S33" s="39"/>
      <c r="T33" s="39"/>
      <c r="U33" s="39" t="s">
        <v>102</v>
      </c>
      <c r="V33" s="39"/>
      <c r="W33" s="39"/>
      <c r="X33" s="39"/>
      <c r="Y33" s="39"/>
      <c r="Z33" s="41"/>
      <c r="AA33" s="39"/>
      <c r="AB33" s="29"/>
    </row>
    <row r="34" spans="1:28" x14ac:dyDescent="0.25">
      <c r="A34" s="61" t="s">
        <v>163</v>
      </c>
      <c r="B34" s="151" t="s">
        <v>203</v>
      </c>
      <c r="C34" s="152"/>
      <c r="D34" s="152"/>
      <c r="E34" s="152"/>
      <c r="F34" s="121">
        <f>Loss_on_sale_of_Equipment*-1</f>
        <v>69000</v>
      </c>
      <c r="G34" s="62" t="s">
        <v>163</v>
      </c>
      <c r="H34" s="65">
        <f>IF(AND(V34="",B34=""),0,IF(B34&lt;&gt;O34,1,0))</f>
        <v>0</v>
      </c>
      <c r="I34" s="65"/>
      <c r="J34" s="65"/>
      <c r="K34" s="65"/>
      <c r="L34" s="65">
        <f>IF(AND(Z34=0,F34=""),0,IF(F34&lt;&gt;S34,1,0))</f>
        <v>0</v>
      </c>
      <c r="M34" s="65"/>
      <c r="N34" s="39"/>
      <c r="O34" s="39" t="str">
        <f>IF(AND(B34="",V34&lt;&gt;""),".",IF(AND(B34&lt;&gt;"",V34=""),".",IF(OR(B34=V34,B34=V35),B34,".")))</f>
        <v>Loss on sale of Equipment</v>
      </c>
      <c r="P34" s="39"/>
      <c r="Q34" s="39"/>
      <c r="R34" s="39"/>
      <c r="S34" s="39">
        <f>IF($O34=".",".",IF($O34=$V34,Z34,IF($O34=$V35,Z35,".")))</f>
        <v>69000</v>
      </c>
      <c r="T34" s="39"/>
      <c r="U34" s="66"/>
      <c r="V34" s="73" t="s">
        <v>203</v>
      </c>
      <c r="W34" s="74"/>
      <c r="X34" s="74"/>
      <c r="Y34" s="74"/>
      <c r="Z34" s="69">
        <f>-Information!G18</f>
        <v>69000</v>
      </c>
      <c r="AA34" s="39"/>
      <c r="AB34" s="29"/>
    </row>
    <row r="35" spans="1:28" x14ac:dyDescent="0.25">
      <c r="A35" s="61" t="s">
        <v>163</v>
      </c>
      <c r="B35" s="154"/>
      <c r="C35" s="155"/>
      <c r="D35" s="155"/>
      <c r="E35" s="155"/>
      <c r="F35" s="122"/>
      <c r="G35" s="62" t="s">
        <v>163</v>
      </c>
      <c r="H35" s="65">
        <f>IF(AND(V35="",B35=""),0,IF(B35&lt;&gt;O35,1,0))</f>
        <v>0</v>
      </c>
      <c r="I35" s="65"/>
      <c r="J35" s="65"/>
      <c r="K35" s="65"/>
      <c r="L35" s="65">
        <f>IF(AND(Z35=0,F35=""),0,IF(F35&lt;&gt;S35,1,0))</f>
        <v>0</v>
      </c>
      <c r="M35" s="65"/>
      <c r="N35" s="39"/>
      <c r="O35" s="39">
        <f>IF(B35=B34,".",IF(AND(B35="",V35&lt;&gt;""),".",IF(AND(B35&lt;&gt;"",V35=""),".",IF(OR(B35=V34,B35=V35),B35,"."))))</f>
        <v>0</v>
      </c>
      <c r="P35" s="39"/>
      <c r="Q35" s="39"/>
      <c r="R35" s="39"/>
      <c r="S35" s="39">
        <f>IF($O35=".",".",IF($O35=$V34,Z34,IF($O35=$V35,Z35,".")))</f>
        <v>0</v>
      </c>
      <c r="T35" s="39"/>
      <c r="U35" s="66"/>
      <c r="V35" s="75"/>
      <c r="W35" s="76"/>
      <c r="X35" s="76"/>
      <c r="Y35" s="76"/>
      <c r="Z35" s="72"/>
      <c r="AA35" s="39"/>
      <c r="AB35" s="29"/>
    </row>
    <row r="36" spans="1:28" x14ac:dyDescent="0.25">
      <c r="A36" s="61" t="s">
        <v>163</v>
      </c>
      <c r="B36" s="160" t="s">
        <v>192</v>
      </c>
      <c r="C36" s="160"/>
      <c r="D36" s="160"/>
      <c r="E36" s="160"/>
      <c r="F36" s="160"/>
      <c r="G36" s="62" t="s">
        <v>163</v>
      </c>
      <c r="H36" s="65"/>
      <c r="I36" s="65"/>
      <c r="J36" s="65"/>
      <c r="K36" s="65"/>
      <c r="L36" s="65"/>
      <c r="M36" s="65"/>
      <c r="N36" s="39"/>
      <c r="O36" s="39"/>
      <c r="P36" s="39"/>
      <c r="Q36" s="39"/>
      <c r="R36" s="39"/>
      <c r="S36" s="39"/>
      <c r="T36" s="39"/>
      <c r="U36" s="39" t="s">
        <v>103</v>
      </c>
      <c r="V36" s="39"/>
      <c r="W36" s="39"/>
      <c r="X36" s="39"/>
      <c r="Y36" s="39"/>
      <c r="Z36" s="39"/>
      <c r="AA36" s="39"/>
      <c r="AB36" s="29"/>
    </row>
    <row r="37" spans="1:28" ht="45" x14ac:dyDescent="0.25">
      <c r="A37" s="61" t="s">
        <v>163</v>
      </c>
      <c r="B37" s="123" t="s">
        <v>182</v>
      </c>
      <c r="C37" s="123" t="s">
        <v>105</v>
      </c>
      <c r="D37" s="123" t="s">
        <v>106</v>
      </c>
      <c r="E37" s="123" t="s">
        <v>107</v>
      </c>
      <c r="F37" s="123" t="s">
        <v>108</v>
      </c>
      <c r="G37" s="62" t="s">
        <v>163</v>
      </c>
      <c r="H37" s="65"/>
      <c r="I37" s="65"/>
      <c r="J37" s="65"/>
      <c r="K37" s="65"/>
      <c r="L37" s="65"/>
      <c r="M37" s="65"/>
      <c r="N37" s="39"/>
      <c r="O37" s="39"/>
      <c r="P37" s="39"/>
      <c r="Q37" s="39"/>
      <c r="R37" s="39"/>
      <c r="S37" s="39"/>
      <c r="T37" s="39"/>
      <c r="U37" s="39"/>
      <c r="V37" s="77" t="s">
        <v>104</v>
      </c>
      <c r="W37" s="77" t="s">
        <v>105</v>
      </c>
      <c r="X37" s="77" t="s">
        <v>106</v>
      </c>
      <c r="Y37" s="77" t="s">
        <v>107</v>
      </c>
      <c r="Z37" s="77" t="s">
        <v>108</v>
      </c>
      <c r="AA37" s="39"/>
      <c r="AB37" s="29"/>
    </row>
    <row r="38" spans="1:28" ht="15" customHeight="1" x14ac:dyDescent="0.25">
      <c r="A38" s="61" t="s">
        <v>163</v>
      </c>
      <c r="B38" s="124" t="s">
        <v>8</v>
      </c>
      <c r="C38" s="117">
        <f>Year2_Accounts_Receivable</f>
        <v>95000</v>
      </c>
      <c r="D38" s="117">
        <f>Year1_Accounts_Receivable</f>
        <v>37000</v>
      </c>
      <c r="E38" s="117">
        <f>ABS(C38-D38)</f>
        <v>58000</v>
      </c>
      <c r="F38" s="125" t="s">
        <v>111</v>
      </c>
      <c r="G38" s="62" t="s">
        <v>163</v>
      </c>
      <c r="H38" s="65">
        <f>IF(AND(V38="",B38=""),0,IF(B38&lt;&gt;O38,1,0))</f>
        <v>0</v>
      </c>
      <c r="I38" s="65">
        <f t="shared" ref="I38:K53" si="0">IF(AND(W38="",C38=""),0,IF(C38&lt;&gt;P38,1,0))</f>
        <v>0</v>
      </c>
      <c r="J38" s="65">
        <f t="shared" si="0"/>
        <v>0</v>
      </c>
      <c r="K38" s="65">
        <f t="shared" si="0"/>
        <v>0</v>
      </c>
      <c r="L38" s="65">
        <f>IF(AND(Z38=0,F38=""),0,IF(F38&lt;&gt;S38,1,0))</f>
        <v>0</v>
      </c>
      <c r="M38" s="65"/>
      <c r="N38" s="39"/>
      <c r="O38" s="39" t="str">
        <f>IF(AND(B38="",V38&lt;&gt;""),".",IF(AND(B38&lt;&gt;"",V38=""),".",IF(OR(B38=V38,B38=V39,B38=V40,B38=V41,B38=V42,B38=V43,B38=V44),B38,".")))</f>
        <v>Accounts Receivable</v>
      </c>
      <c r="P38" s="39">
        <f>IF($O38=".",".",IF($O38=$V38,W38,IF($O38=$V39,W39,IF($O38=$V40,W40,IF($O38=$V41,W41,IF($O38=$V42,W42,IF($O38=$V43,W43,IF($O38=$V44,W44,"."))))))))</f>
        <v>95000</v>
      </c>
      <c r="Q38" s="39">
        <f>IF($O38=".",".",IF($O38=$V38,X38,IF($O38=$V39,X39,IF($O38=$V40,X40,IF($O38=$V41,X41,IF($O38=$V42,X42,IF($O38=$V43,X43,IF($O38=$V44,X44,"."))))))))</f>
        <v>37000</v>
      </c>
      <c r="R38" s="39">
        <f>IF($O38=".",".",IF($O38=$V38,Y38,IF($O38=$V39,Y39,IF($O38=$V40,Y40,IF($O38=$V41,Y41,IF($O38=$V42,Y42,IF($O38=$V43,Y43,IF($O38=$V44,Y44,"."))))))))</f>
        <v>58000</v>
      </c>
      <c r="S38" s="39" t="str">
        <f>IF($O38=".",".",IF($O38=$V38,Z38,IF($O38=$V39,Z39,IF($O38=$V40,Z40,IF($O38=$V41,Z41,IF($O38=$V42,Z42,IF($O38=$V43,Z43,IF($O38=$V44,Z44,"."))))))))</f>
        <v>increase</v>
      </c>
      <c r="T38" s="39"/>
      <c r="U38" s="150" t="s">
        <v>4</v>
      </c>
      <c r="V38" s="79" t="s">
        <v>8</v>
      </c>
      <c r="W38" s="80">
        <f>+Information!B13</f>
        <v>95000</v>
      </c>
      <c r="X38" s="80">
        <f>+Information!C13</f>
        <v>37000</v>
      </c>
      <c r="Y38" s="80">
        <f>ABS(W38-X38)</f>
        <v>58000</v>
      </c>
      <c r="Z38" s="81" t="str">
        <f>IF(W38&gt;X38,"increase","decrease")</f>
        <v>increase</v>
      </c>
      <c r="AA38" s="39"/>
      <c r="AB38" s="29"/>
    </row>
    <row r="39" spans="1:28" x14ac:dyDescent="0.25">
      <c r="A39" s="61" t="s">
        <v>163</v>
      </c>
      <c r="B39" s="126" t="s">
        <v>123</v>
      </c>
      <c r="C39" s="112">
        <f>Year2_Merchandise_Inventory</f>
        <v>149000</v>
      </c>
      <c r="D39" s="112">
        <f>Year1_Merchandise_Inventory</f>
        <v>145000</v>
      </c>
      <c r="E39" s="112">
        <f>ABS(C39-D39)</f>
        <v>4000</v>
      </c>
      <c r="F39" s="127" t="s">
        <v>111</v>
      </c>
      <c r="G39" s="62" t="s">
        <v>163</v>
      </c>
      <c r="H39" s="65">
        <f t="shared" ref="H39:H53" si="1">IF(AND(V39="",B39=""),0,IF(B39&lt;&gt;O39,1,0))</f>
        <v>0</v>
      </c>
      <c r="I39" s="65">
        <f t="shared" si="0"/>
        <v>0</v>
      </c>
      <c r="J39" s="65">
        <f t="shared" si="0"/>
        <v>0</v>
      </c>
      <c r="K39" s="65">
        <f t="shared" si="0"/>
        <v>0</v>
      </c>
      <c r="L39" s="65">
        <f t="shared" ref="L39:L53" si="2">IF(AND(Z39=0,F39=""),0,IF(F39&lt;&gt;S39,1,0))</f>
        <v>0</v>
      </c>
      <c r="M39" s="65"/>
      <c r="N39" s="39"/>
      <c r="O39" s="39" t="str">
        <f>IF(B39=B38,".",IF(AND(B39="",V39&lt;&gt;""),".",IF(AND(B39&lt;&gt;"",V39=""),".",IF(OR(B39=V38,B39=V39,B39=V40,B39=V41,B39=V42,B39=V43,B39=V44),B39,"."))))</f>
        <v>Merchandise Inventory</v>
      </c>
      <c r="P39" s="39">
        <f>IF($O39=".",".",IF($O39=$V38,W38,IF($O39=$V39,W39,IF($O39=$V40,W40,IF($O39=$V41,W41,IF($O39=$V42,W42,IF($O39=$V43,W43,IF($O39=$V44,W44,"."))))))))</f>
        <v>149000</v>
      </c>
      <c r="Q39" s="39">
        <f>IF($O39=".",".",IF($O39=$V38,X38,IF($O39=$V39,X39,IF($O39=$V40,X40,IF($O39=$V41,X41,IF($O39=$V42,X42,IF($O39=$V43,X43,IF($O39=$V44,X44,"."))))))))</f>
        <v>145000</v>
      </c>
      <c r="R39" s="39">
        <f>IF($O39=".",".",IF($O39=$V38,Y38,IF($O39=$V39,Y39,IF($O39=$V40,Y40,IF($O39=$V41,Y41,IF($O39=$V42,Y42,IF($O39=$V43,Y43,IF($O39=$V44,Y44,"."))))))))</f>
        <v>4000</v>
      </c>
      <c r="S39" s="39" t="str">
        <f>IF($O39=".",".",IF($O39=$V38,Z38,IF($O39=$V39,Z39,IF($O39=$V40,Z40,IF($O39=$V41,Z41,IF($O39=$V42,Z42,IF($O39=$V43,Z43,IF($O39=$V44,Z44,"."))))))))</f>
        <v>increase</v>
      </c>
      <c r="T39" s="39"/>
      <c r="U39" s="150"/>
      <c r="V39" s="82" t="s">
        <v>123</v>
      </c>
      <c r="W39" s="83">
        <f>+Information!B14</f>
        <v>149000</v>
      </c>
      <c r="X39" s="83">
        <f>+Information!C14</f>
        <v>145000</v>
      </c>
      <c r="Y39" s="83">
        <f t="shared" ref="Y39" si="3">ABS(W39-X39)</f>
        <v>4000</v>
      </c>
      <c r="Z39" s="84" t="str">
        <f t="shared" ref="Z39" si="4">IF(W39&gt;X39,"increase","decrease")</f>
        <v>increase</v>
      </c>
      <c r="AA39" s="39"/>
      <c r="AB39" s="29"/>
    </row>
    <row r="40" spans="1:28" x14ac:dyDescent="0.25">
      <c r="A40" s="61" t="s">
        <v>163</v>
      </c>
      <c r="B40" s="126"/>
      <c r="C40" s="112"/>
      <c r="D40" s="112"/>
      <c r="E40" s="112"/>
      <c r="F40" s="127"/>
      <c r="G40" s="62" t="s">
        <v>163</v>
      </c>
      <c r="H40" s="65">
        <f t="shared" si="1"/>
        <v>0</v>
      </c>
      <c r="I40" s="65">
        <f t="shared" si="0"/>
        <v>0</v>
      </c>
      <c r="J40" s="65">
        <f t="shared" si="0"/>
        <v>0</v>
      </c>
      <c r="K40" s="65">
        <f t="shared" si="0"/>
        <v>0</v>
      </c>
      <c r="L40" s="65">
        <f t="shared" si="2"/>
        <v>0</v>
      </c>
      <c r="M40" s="65"/>
      <c r="N40" s="39"/>
      <c r="O40" s="39">
        <f>IF(OR(B40=B38,B40=B39),".",IF(AND(B40="",V40&lt;&gt;""),".",IF(AND(B40&lt;&gt;"",V40=""),".",IF(OR(B40=V38,B40=V39,B40=V40,B40=V41,B40=V42,B40=V43,B40=V44),B40,"."))))</f>
        <v>0</v>
      </c>
      <c r="P40" s="39">
        <f>IF($O40=".",".",IF($O40=$V38,W38,IF($O40=$V39,W39,IF($O40=$V40,W40,IF($O40=$V41,W41,IF($O40=$V42,W42,IF($O40=$V43,W43,IF($O40=$V44,W44,"."))))))))</f>
        <v>0</v>
      </c>
      <c r="Q40" s="39">
        <f t="shared" ref="Q40:S40" si="5">IF($O40=".",".",IF($O40=$V38,X38,IF($O40=$V39,X39,IF($O40=$V40,X40,IF($O40=$V41,X41,IF($O40=$V42,X42,IF($O40=$V43,X43,IF($O40=$V44,X44,"."))))))))</f>
        <v>0</v>
      </c>
      <c r="R40" s="39">
        <f t="shared" si="5"/>
        <v>0</v>
      </c>
      <c r="S40" s="39">
        <f t="shared" si="5"/>
        <v>0</v>
      </c>
      <c r="T40" s="39"/>
      <c r="U40" s="150"/>
      <c r="V40" s="82"/>
      <c r="W40" s="83"/>
      <c r="X40" s="83"/>
      <c r="Y40" s="83"/>
      <c r="Z40" s="84"/>
      <c r="AA40" s="39"/>
      <c r="AB40" s="29"/>
    </row>
    <row r="41" spans="1:28" x14ac:dyDescent="0.25">
      <c r="A41" s="61" t="s">
        <v>163</v>
      </c>
      <c r="B41" s="126"/>
      <c r="C41" s="112"/>
      <c r="D41" s="112"/>
      <c r="E41" s="112"/>
      <c r="F41" s="127"/>
      <c r="G41" s="62" t="s">
        <v>163</v>
      </c>
      <c r="H41" s="65">
        <f t="shared" si="1"/>
        <v>0</v>
      </c>
      <c r="I41" s="65">
        <f t="shared" si="0"/>
        <v>0</v>
      </c>
      <c r="J41" s="65">
        <f t="shared" si="0"/>
        <v>0</v>
      </c>
      <c r="K41" s="65">
        <f t="shared" si="0"/>
        <v>0</v>
      </c>
      <c r="L41" s="65">
        <f t="shared" si="2"/>
        <v>0</v>
      </c>
      <c r="M41" s="65"/>
      <c r="N41" s="39"/>
      <c r="O41" s="39" t="str">
        <f>IF(OR(B41=B38,B41=B39,B41=B40),".",IF(AND(B41="",V41&lt;&gt;""),".",IF(AND(B41&lt;&gt;"",V41=""),".",IF(OR(B41=V38,B41=V39,B41=V40,B41=V41,B41=V42,B41=V43,B41=V44),B41,"."))))</f>
        <v>.</v>
      </c>
      <c r="P41" s="39" t="str">
        <f>IF($O41=".",".",IF($O41=$V38,W38,IF($O41=$V39,W39,IF($O41=$V40,W40,IF($O41=$V41,W41,IF($O41=$V42,W42,IF($O41=$V43,W43,IF($O41=$V44,W44,"."))))))))</f>
        <v>.</v>
      </c>
      <c r="Q41" s="39" t="str">
        <f t="shared" ref="Q41:S41" si="6">IF($O41=".",".",IF($O41=$V38,X38,IF($O41=$V39,X39,IF($O41=$V40,X40,IF($O41=$V41,X41,IF($O41=$V42,X42,IF($O41=$V43,X43,IF($O41=$V44,X44,"."))))))))</f>
        <v>.</v>
      </c>
      <c r="R41" s="39" t="str">
        <f t="shared" si="6"/>
        <v>.</v>
      </c>
      <c r="S41" s="39" t="str">
        <f t="shared" si="6"/>
        <v>.</v>
      </c>
      <c r="T41" s="39"/>
      <c r="U41" s="150"/>
      <c r="V41" s="82"/>
      <c r="W41" s="83"/>
      <c r="X41" s="83"/>
      <c r="Y41" s="83"/>
      <c r="Z41" s="84"/>
      <c r="AA41" s="39"/>
      <c r="AB41" s="29"/>
    </row>
    <row r="42" spans="1:28" x14ac:dyDescent="0.25">
      <c r="A42" s="61" t="s">
        <v>163</v>
      </c>
      <c r="B42" s="126"/>
      <c r="C42" s="112"/>
      <c r="D42" s="112"/>
      <c r="E42" s="112"/>
      <c r="F42" s="127"/>
      <c r="G42" s="62" t="s">
        <v>163</v>
      </c>
      <c r="H42" s="65">
        <f t="shared" si="1"/>
        <v>0</v>
      </c>
      <c r="I42" s="65">
        <f t="shared" si="0"/>
        <v>0</v>
      </c>
      <c r="J42" s="65">
        <f t="shared" si="0"/>
        <v>0</v>
      </c>
      <c r="K42" s="65">
        <f t="shared" si="0"/>
        <v>0</v>
      </c>
      <c r="L42" s="65">
        <f t="shared" si="2"/>
        <v>0</v>
      </c>
      <c r="M42" s="65"/>
      <c r="N42" s="39"/>
      <c r="O42" s="39" t="str">
        <f>IF(OR(B42=B38,B42=B39,B42=B40,B42=B41),".",IF(AND(B42="",V42&lt;&gt;""),".",IF(AND(B42&lt;&gt;"",V42=""),".",IF(OR(B42=V38,B42=V39,B42=V40,B42=V41,B42=V42,B42=V43,B42=V44),B42,"."))))</f>
        <v>.</v>
      </c>
      <c r="P42" s="39" t="str">
        <f>IF($O42=".",".",IF($O42=$V38,W38,IF($O42=$V39,W39,IF($O42=$V40,W40,IF($O42=$V41,W41,IF($O42=$V42,W42,IF($O42=$V43,W43,IF($O42=$V44,W44,"."))))))))</f>
        <v>.</v>
      </c>
      <c r="Q42" s="39" t="str">
        <f t="shared" ref="Q42:S42" si="7">IF($O42=".",".",IF($O42=$V38,X38,IF($O42=$V39,X39,IF($O42=$V40,X40,IF($O42=$V41,X41,IF($O42=$V42,X42,IF($O42=$V43,X43,IF($O42=$V44,X44,"."))))))))</f>
        <v>.</v>
      </c>
      <c r="R42" s="39" t="str">
        <f t="shared" si="7"/>
        <v>.</v>
      </c>
      <c r="S42" s="39" t="str">
        <f t="shared" si="7"/>
        <v>.</v>
      </c>
      <c r="T42" s="39"/>
      <c r="U42" s="150"/>
      <c r="V42" s="82"/>
      <c r="W42" s="83"/>
      <c r="X42" s="83"/>
      <c r="Y42" s="83"/>
      <c r="Z42" s="84"/>
      <c r="AA42" s="39"/>
      <c r="AB42" s="29"/>
    </row>
    <row r="43" spans="1:28" x14ac:dyDescent="0.25">
      <c r="A43" s="61" t="s">
        <v>163</v>
      </c>
      <c r="B43" s="126"/>
      <c r="C43" s="112"/>
      <c r="D43" s="112"/>
      <c r="E43" s="112"/>
      <c r="F43" s="127"/>
      <c r="G43" s="62" t="s">
        <v>163</v>
      </c>
      <c r="H43" s="65">
        <f t="shared" si="1"/>
        <v>0</v>
      </c>
      <c r="I43" s="65">
        <f t="shared" si="0"/>
        <v>0</v>
      </c>
      <c r="J43" s="65">
        <f t="shared" si="0"/>
        <v>0</v>
      </c>
      <c r="K43" s="65">
        <f t="shared" si="0"/>
        <v>0</v>
      </c>
      <c r="L43" s="65">
        <f t="shared" si="2"/>
        <v>0</v>
      </c>
      <c r="M43" s="65"/>
      <c r="N43" s="39"/>
      <c r="O43" s="39" t="str">
        <f>IF(OR(B43=B38,B43=B39,B43=B40,B43=B41,B43=B42),".",IF(AND(B43="",V43&lt;&gt;""),".",IF(AND(B43&lt;&gt;"",V43=""),".",IF(OR(B43=V38,B43=V39,B43=V40,B43=V41,B43=V42,B43=V43,B43=V44),B43,"."))))</f>
        <v>.</v>
      </c>
      <c r="P43" s="39" t="str">
        <f>IF($O43=".",".",IF($O43=$V38,W38,IF($O43=$V39,W39,IF($O43=$V40,W40,IF($O43=$V41,W41,IF($O43=$V42,W42,IF($O43=$V43,W43,IF($O43=$V44,W44,"."))))))))</f>
        <v>.</v>
      </c>
      <c r="Q43" s="39" t="str">
        <f t="shared" ref="Q43:S43" si="8">IF($O43=".",".",IF($O43=$V38,X38,IF($O43=$V39,X39,IF($O43=$V40,X40,IF($O43=$V41,X41,IF($O43=$V42,X42,IF($O43=$V43,X43,IF($O43=$V44,X44,"."))))))))</f>
        <v>.</v>
      </c>
      <c r="R43" s="39" t="str">
        <f t="shared" si="8"/>
        <v>.</v>
      </c>
      <c r="S43" s="39" t="str">
        <f t="shared" si="8"/>
        <v>.</v>
      </c>
      <c r="T43" s="39"/>
      <c r="U43" s="150"/>
      <c r="V43" s="82"/>
      <c r="W43" s="83"/>
      <c r="X43" s="83"/>
      <c r="Y43" s="83"/>
      <c r="Z43" s="84"/>
      <c r="AA43" s="39"/>
      <c r="AB43" s="29"/>
    </row>
    <row r="44" spans="1:28" x14ac:dyDescent="0.25">
      <c r="A44" s="61" t="s">
        <v>163</v>
      </c>
      <c r="B44" s="128"/>
      <c r="C44" s="118"/>
      <c r="D44" s="118"/>
      <c r="E44" s="118"/>
      <c r="F44" s="129"/>
      <c r="G44" s="62" t="s">
        <v>163</v>
      </c>
      <c r="H44" s="65">
        <f t="shared" si="1"/>
        <v>0</v>
      </c>
      <c r="I44" s="65">
        <f t="shared" si="0"/>
        <v>0</v>
      </c>
      <c r="J44" s="65">
        <f t="shared" si="0"/>
        <v>0</v>
      </c>
      <c r="K44" s="65">
        <f t="shared" si="0"/>
        <v>0</v>
      </c>
      <c r="L44" s="65">
        <f t="shared" si="2"/>
        <v>0</v>
      </c>
      <c r="M44" s="65"/>
      <c r="N44" s="39"/>
      <c r="O44" s="39" t="str">
        <f>IF(OR(B44=B38,B44=B39,B44=B40,B44=B41,B44=B42,B44=B43),".",IF(AND(B44="",V44&lt;&gt;""),".",IF(AND(B44&lt;&gt;"",V44=""),".",IF(OR(B44=V38,B44=V39,B44=V40,B44=V41,B44=V42,B44=V43,B44=V44),B44,"."))))</f>
        <v>.</v>
      </c>
      <c r="P44" s="39" t="str">
        <f>IF($O44=".",".",IF($O44=$V38,W38,IF($O44=$V39,W39,IF($O44=$V40,W40,IF($O44=$V41,W41,IF($O44=$V42,W42,IF($O44=$V43,W43,IF($O44=$V44,W44,"."))))))))</f>
        <v>.</v>
      </c>
      <c r="Q44" s="39" t="str">
        <f t="shared" ref="Q44:S44" si="9">IF($O44=".",".",IF($O44=$V38,X38,IF($O44=$V39,X39,IF($O44=$V40,X40,IF($O44=$V41,X41,IF($O44=$V42,X42,IF($O44=$V43,X43,IF($O44=$V44,X44,"."))))))))</f>
        <v>.</v>
      </c>
      <c r="R44" s="39" t="str">
        <f t="shared" si="9"/>
        <v>.</v>
      </c>
      <c r="S44" s="39" t="str">
        <f t="shared" si="9"/>
        <v>.</v>
      </c>
      <c r="T44" s="39"/>
      <c r="U44" s="150"/>
      <c r="V44" s="85"/>
      <c r="W44" s="86"/>
      <c r="X44" s="86"/>
      <c r="Y44" s="86"/>
      <c r="Z44" s="87"/>
      <c r="AA44" s="39"/>
      <c r="AB44" s="29"/>
    </row>
    <row r="45" spans="1:28" x14ac:dyDescent="0.25">
      <c r="A45" s="61" t="s">
        <v>163</v>
      </c>
      <c r="B45" s="160" t="s">
        <v>191</v>
      </c>
      <c r="C45" s="160"/>
      <c r="D45" s="160"/>
      <c r="E45" s="160"/>
      <c r="F45" s="161"/>
      <c r="G45" s="62"/>
      <c r="H45" s="65"/>
      <c r="I45" s="65"/>
      <c r="J45" s="65"/>
      <c r="K45" s="65"/>
      <c r="L45" s="65"/>
      <c r="M45" s="65"/>
      <c r="N45" s="39"/>
      <c r="O45" s="39"/>
      <c r="P45" s="39"/>
      <c r="Q45" s="39"/>
      <c r="R45" s="39"/>
      <c r="S45" s="39"/>
      <c r="T45" s="39"/>
      <c r="U45" s="78"/>
      <c r="V45" s="99"/>
      <c r="W45" s="100"/>
      <c r="X45" s="100"/>
      <c r="Y45" s="100"/>
      <c r="Z45" s="101"/>
      <c r="AA45" s="39"/>
      <c r="AB45" s="29"/>
    </row>
    <row r="46" spans="1:28" ht="45" x14ac:dyDescent="0.25">
      <c r="A46" s="61" t="s">
        <v>163</v>
      </c>
      <c r="B46" s="123" t="s">
        <v>183</v>
      </c>
      <c r="C46" s="123" t="s">
        <v>105</v>
      </c>
      <c r="D46" s="123" t="s">
        <v>106</v>
      </c>
      <c r="E46" s="123" t="s">
        <v>107</v>
      </c>
      <c r="F46" s="123" t="s">
        <v>108</v>
      </c>
      <c r="G46" s="62" t="s">
        <v>163</v>
      </c>
      <c r="H46" s="65"/>
      <c r="I46" s="65"/>
      <c r="J46" s="65"/>
      <c r="K46" s="65"/>
      <c r="L46" s="65"/>
      <c r="M46" s="65"/>
      <c r="N46" s="39"/>
      <c r="O46" s="39"/>
      <c r="P46" s="39"/>
      <c r="Q46" s="39"/>
      <c r="R46" s="39"/>
      <c r="S46" s="39"/>
      <c r="T46" s="39"/>
      <c r="U46" s="78"/>
      <c r="V46" s="99"/>
      <c r="W46" s="100"/>
      <c r="X46" s="100"/>
      <c r="Y46" s="100"/>
      <c r="Z46" s="101"/>
      <c r="AA46" s="39"/>
      <c r="AB46" s="29"/>
    </row>
    <row r="47" spans="1:28" ht="15" customHeight="1" x14ac:dyDescent="0.25">
      <c r="A47" s="61" t="s">
        <v>163</v>
      </c>
      <c r="B47" s="124" t="s">
        <v>17</v>
      </c>
      <c r="C47" s="117">
        <f>Year2_Accounts_Payable</f>
        <v>56000</v>
      </c>
      <c r="D47" s="117">
        <f>Year1_Accounts_Payable</f>
        <v>142000</v>
      </c>
      <c r="E47" s="117">
        <f>ABS(C47-D47)</f>
        <v>86000</v>
      </c>
      <c r="F47" s="125" t="s">
        <v>110</v>
      </c>
      <c r="G47" s="62" t="s">
        <v>163</v>
      </c>
      <c r="H47" s="65">
        <f t="shared" si="1"/>
        <v>0</v>
      </c>
      <c r="I47" s="65">
        <f t="shared" si="0"/>
        <v>0</v>
      </c>
      <c r="J47" s="65">
        <f t="shared" si="0"/>
        <v>0</v>
      </c>
      <c r="K47" s="65">
        <f t="shared" si="0"/>
        <v>0</v>
      </c>
      <c r="L47" s="65">
        <f t="shared" si="2"/>
        <v>0</v>
      </c>
      <c r="M47" s="65"/>
      <c r="N47" s="39"/>
      <c r="O47" s="39" t="str">
        <f>IF(AND(B47="",V47&lt;&gt;""),".",IF(AND(B47&lt;&gt;"",V47=""),".",IF(OR(B47=V47,B47=V48,B47=V49,B47=V50,B47=V51,B47=V52,B47=V53),B47,".")))</f>
        <v>Accounts Payable</v>
      </c>
      <c r="P47" s="39">
        <f>IF($O47=".",".",IF($O47=$V47,W47,IF($O47=$V48,W48,IF($O47=$V49,W49,IF($O47=$V50,W50,IF($O47=$V51,W51,IF($O47=$V52,W52,IF($O47=$V53,W53,"."))))))))</f>
        <v>56000</v>
      </c>
      <c r="Q47" s="39">
        <f t="shared" ref="Q47:S47" si="10">IF($O47=".",".",IF($O47=$V47,X47,IF($O47=$V48,X48,IF($O47=$V49,X49,IF($O47=$V50,X50,IF($O47=$V51,X51,IF($O47=$V52,X52,IF($O47=$V53,X53,"."))))))))</f>
        <v>142000</v>
      </c>
      <c r="R47" s="39">
        <f t="shared" si="10"/>
        <v>86000</v>
      </c>
      <c r="S47" s="39" t="str">
        <f t="shared" si="10"/>
        <v>decrease</v>
      </c>
      <c r="T47" s="39"/>
      <c r="U47" s="150" t="s">
        <v>109</v>
      </c>
      <c r="V47" s="79" t="s">
        <v>17</v>
      </c>
      <c r="W47" s="80">
        <f>+Information!B22</f>
        <v>56000</v>
      </c>
      <c r="X47" s="80">
        <f>+Information!C22</f>
        <v>142000</v>
      </c>
      <c r="Y47" s="80">
        <f>ABS(W47-X47)</f>
        <v>86000</v>
      </c>
      <c r="Z47" s="81" t="str">
        <f>IF(W47&gt;X47,"increase","decrease")</f>
        <v>decrease</v>
      </c>
      <c r="AA47" s="39"/>
      <c r="AB47" s="29"/>
    </row>
    <row r="48" spans="1:28" x14ac:dyDescent="0.25">
      <c r="A48" s="61" t="s">
        <v>163</v>
      </c>
      <c r="B48" s="126" t="s">
        <v>205</v>
      </c>
      <c r="C48" s="112">
        <f>Year2_Wages_Payable</f>
        <v>39500</v>
      </c>
      <c r="D48" s="112">
        <f>Year1_Wages_Payable</f>
        <v>37000</v>
      </c>
      <c r="E48" s="112">
        <f>ABS(C48-D48)</f>
        <v>2500</v>
      </c>
      <c r="F48" s="127" t="s">
        <v>111</v>
      </c>
      <c r="G48" s="62" t="s">
        <v>163</v>
      </c>
      <c r="H48" s="65">
        <f t="shared" si="1"/>
        <v>0</v>
      </c>
      <c r="I48" s="65">
        <f t="shared" si="0"/>
        <v>0</v>
      </c>
      <c r="J48" s="65">
        <f t="shared" si="0"/>
        <v>0</v>
      </c>
      <c r="K48" s="65">
        <f t="shared" si="0"/>
        <v>0</v>
      </c>
      <c r="L48" s="65">
        <f t="shared" si="2"/>
        <v>0</v>
      </c>
      <c r="M48" s="65"/>
      <c r="N48" s="39"/>
      <c r="O48" s="39" t="str">
        <f>IF(B48=B47,".",IF(AND(B48="",V48&lt;&gt;""),".",IF(AND(B48&lt;&gt;"",V48=""),".",IF(OR(B48=V47,B48=V48,B48=V49,B48=V50,B48=V51,B48=V52,B48=V53),B48,"."))))</f>
        <v>Wages Payable</v>
      </c>
      <c r="P48" s="39">
        <f>IF($O48=".",".",IF($O48=$V47,W47,IF($O48=$V48,W48,IF($O48=$V49,W49,IF($O48=$V50,W50,IF($O48=$V51,W51,IF($O48=$V52,W52,IF($O48=$V53,W53,"."))))))))</f>
        <v>39500</v>
      </c>
      <c r="Q48" s="39">
        <f t="shared" ref="Q48:S48" si="11">IF($O48=".",".",IF($O48=$V47,X47,IF($O48=$V48,X48,IF($O48=$V49,X49,IF($O48=$V50,X50,IF($O48=$V51,X51,IF($O48=$V52,X52,IF($O48=$V53,X53,"."))))))))</f>
        <v>37000</v>
      </c>
      <c r="R48" s="39">
        <f t="shared" si="11"/>
        <v>2500</v>
      </c>
      <c r="S48" s="39" t="str">
        <f t="shared" si="11"/>
        <v>increase</v>
      </c>
      <c r="T48" s="39"/>
      <c r="U48" s="150"/>
      <c r="V48" s="82" t="s">
        <v>205</v>
      </c>
      <c r="W48" s="83">
        <f>+Information!B23</f>
        <v>39500</v>
      </c>
      <c r="X48" s="83">
        <f>+Information!C23</f>
        <v>37000</v>
      </c>
      <c r="Y48" s="83">
        <f t="shared" ref="Y48" si="12">ABS(W48-X48)</f>
        <v>2500</v>
      </c>
      <c r="Z48" s="84" t="str">
        <f t="shared" ref="Z48" si="13">IF(W48&gt;X48,"increase","decrease")</f>
        <v>increase</v>
      </c>
      <c r="AA48" s="39"/>
      <c r="AB48" s="29"/>
    </row>
    <row r="49" spans="1:28" x14ac:dyDescent="0.25">
      <c r="A49" s="61" t="s">
        <v>163</v>
      </c>
      <c r="B49" s="126"/>
      <c r="C49" s="112"/>
      <c r="D49" s="112"/>
      <c r="E49" s="112"/>
      <c r="F49" s="127"/>
      <c r="G49" s="62" t="s">
        <v>163</v>
      </c>
      <c r="H49" s="65">
        <f t="shared" si="1"/>
        <v>0</v>
      </c>
      <c r="I49" s="65">
        <f t="shared" si="0"/>
        <v>0</v>
      </c>
      <c r="J49" s="65">
        <f t="shared" si="0"/>
        <v>0</v>
      </c>
      <c r="K49" s="65">
        <f t="shared" si="0"/>
        <v>0</v>
      </c>
      <c r="L49" s="65">
        <f t="shared" si="2"/>
        <v>0</v>
      </c>
      <c r="M49" s="65"/>
      <c r="N49" s="39"/>
      <c r="O49" s="39">
        <f>IF(OR(B49=B47,B49=B48),".",IF(AND(B49="",V49&lt;&gt;""),".",IF(AND(B49&lt;&gt;"",V49=""),".",IF(OR(B49=V47,B49=V48,B49=V49,B49=V50,B49=V51,B49=V52,B49=V53),B49,"."))))</f>
        <v>0</v>
      </c>
      <c r="P49" s="39">
        <f>IF($O49=".",".",IF($O49=$V47,W47,IF($O49=$V48,W48,IF($O49=$V49,W49,IF($O49=$V50,W50,IF($O49=$V51,W51,IF($O49=$V52,W52,IF($O49=$V53,W53,"."))))))))</f>
        <v>0</v>
      </c>
      <c r="Q49" s="39">
        <f t="shared" ref="Q49:S49" si="14">IF($O49=".",".",IF($O49=$V47,X47,IF($O49=$V48,X48,IF($O49=$V49,X49,IF($O49=$V50,X50,IF($O49=$V51,X51,IF($O49=$V52,X52,IF($O49=$V53,X53,"."))))))))</f>
        <v>0</v>
      </c>
      <c r="R49" s="39">
        <f t="shared" si="14"/>
        <v>0</v>
      </c>
      <c r="S49" s="39">
        <f t="shared" si="14"/>
        <v>0</v>
      </c>
      <c r="T49" s="39"/>
      <c r="U49" s="150"/>
      <c r="V49" s="82"/>
      <c r="W49" s="83"/>
      <c r="X49" s="83"/>
      <c r="Y49" s="83"/>
      <c r="Z49" s="84"/>
      <c r="AA49" s="39"/>
      <c r="AB49" s="29"/>
    </row>
    <row r="50" spans="1:28" x14ac:dyDescent="0.25">
      <c r="A50" s="61" t="s">
        <v>163</v>
      </c>
      <c r="B50" s="126"/>
      <c r="C50" s="112"/>
      <c r="D50" s="112"/>
      <c r="E50" s="112"/>
      <c r="F50" s="127"/>
      <c r="G50" s="62" t="s">
        <v>163</v>
      </c>
      <c r="H50" s="65">
        <f t="shared" si="1"/>
        <v>0</v>
      </c>
      <c r="I50" s="65">
        <f t="shared" si="0"/>
        <v>0</v>
      </c>
      <c r="J50" s="65">
        <f t="shared" si="0"/>
        <v>0</v>
      </c>
      <c r="K50" s="65">
        <f t="shared" si="0"/>
        <v>0</v>
      </c>
      <c r="L50" s="65">
        <f t="shared" si="2"/>
        <v>0</v>
      </c>
      <c r="M50" s="65"/>
      <c r="N50" s="39"/>
      <c r="O50" s="39" t="str">
        <f>IF(OR(B50=B47,B50=B48,B50=B49),".",IF(AND(B50="",V50&lt;&gt;""),".",IF(AND(B50&lt;&gt;"",V50=""),".",IF(OR(B50=V47,B50=V48,B50=V49,B50=V50,B50=V51,B50=V52,B50=V53),B50,"."))))</f>
        <v>.</v>
      </c>
      <c r="P50" s="39" t="str">
        <f>IF($O50=".",".",IF($O50=$V47,W47,IF($O50=$V48,W48,IF($O50=$V49,W49,IF($O50=$V50,W50,IF($O50=$V51,W51,IF($O50=$V52,W52,IF($O50=$V53,W53,"."))))))))</f>
        <v>.</v>
      </c>
      <c r="Q50" s="39" t="str">
        <f t="shared" ref="Q50:S50" si="15">IF($O50=".",".",IF($O50=$V47,X47,IF($O50=$V48,X48,IF($O50=$V49,X49,IF($O50=$V50,X50,IF($O50=$V51,X51,IF($O50=$V52,X52,IF($O50=$V53,X53,"."))))))))</f>
        <v>.</v>
      </c>
      <c r="R50" s="39" t="str">
        <f t="shared" si="15"/>
        <v>.</v>
      </c>
      <c r="S50" s="39" t="str">
        <f t="shared" si="15"/>
        <v>.</v>
      </c>
      <c r="T50" s="39"/>
      <c r="U50" s="150"/>
      <c r="V50" s="82"/>
      <c r="W50" s="83"/>
      <c r="X50" s="83"/>
      <c r="Y50" s="83"/>
      <c r="Z50" s="84"/>
      <c r="AA50" s="39"/>
      <c r="AB50" s="29"/>
    </row>
    <row r="51" spans="1:28" x14ac:dyDescent="0.25">
      <c r="A51" s="61" t="s">
        <v>163</v>
      </c>
      <c r="B51" s="126"/>
      <c r="C51" s="112"/>
      <c r="D51" s="112"/>
      <c r="E51" s="112"/>
      <c r="F51" s="127"/>
      <c r="G51" s="62" t="s">
        <v>163</v>
      </c>
      <c r="H51" s="65">
        <f t="shared" si="1"/>
        <v>0</v>
      </c>
      <c r="I51" s="65">
        <f t="shared" si="0"/>
        <v>0</v>
      </c>
      <c r="J51" s="65">
        <f t="shared" si="0"/>
        <v>0</v>
      </c>
      <c r="K51" s="65">
        <f t="shared" si="0"/>
        <v>0</v>
      </c>
      <c r="L51" s="65">
        <f t="shared" si="2"/>
        <v>0</v>
      </c>
      <c r="M51" s="65"/>
      <c r="N51" s="39"/>
      <c r="O51" s="39" t="str">
        <f>IF(OR(B51=B47,B51=B48,B51=B49,B51=B50),".",IF(AND(B51="",V51&lt;&gt;""),".",IF(AND(B51&lt;&gt;"",V51=""),".",IF(OR(B51=V47,B51=V48,B51=V49,B51=V50,B51=V51,B51=V52,B51=V53),B51,"."))))</f>
        <v>.</v>
      </c>
      <c r="P51" s="39" t="str">
        <f>IF($O51=".",".",IF($O51=$V47,W47,IF($O51=$V48,W48,IF($O51=$V49,W49,IF($O51=$V50,W50,IF($O51=$V51,W51,IF($O51=$V52,W52,IF($O51=$V53,W53,"."))))))))</f>
        <v>.</v>
      </c>
      <c r="Q51" s="39" t="str">
        <f t="shared" ref="Q51:S51" si="16">IF($O51=".",".",IF($O51=$V47,X47,IF($O51=$V48,X48,IF($O51=$V49,X49,IF($O51=$V50,X50,IF($O51=$V51,X51,IF($O51=$V52,X52,IF($O51=$V53,X53,"."))))))))</f>
        <v>.</v>
      </c>
      <c r="R51" s="39" t="str">
        <f t="shared" si="16"/>
        <v>.</v>
      </c>
      <c r="S51" s="39" t="str">
        <f t="shared" si="16"/>
        <v>.</v>
      </c>
      <c r="T51" s="39"/>
      <c r="U51" s="150"/>
      <c r="V51" s="82"/>
      <c r="W51" s="83"/>
      <c r="X51" s="83"/>
      <c r="Y51" s="83"/>
      <c r="Z51" s="84"/>
      <c r="AA51" s="39"/>
      <c r="AB51" s="29"/>
    </row>
    <row r="52" spans="1:28" x14ac:dyDescent="0.25">
      <c r="A52" s="61" t="s">
        <v>163</v>
      </c>
      <c r="B52" s="126"/>
      <c r="C52" s="112"/>
      <c r="D52" s="112"/>
      <c r="E52" s="112"/>
      <c r="F52" s="127"/>
      <c r="G52" s="62" t="s">
        <v>163</v>
      </c>
      <c r="H52" s="65">
        <f t="shared" si="1"/>
        <v>0</v>
      </c>
      <c r="I52" s="65">
        <f t="shared" si="0"/>
        <v>0</v>
      </c>
      <c r="J52" s="65">
        <f t="shared" si="0"/>
        <v>0</v>
      </c>
      <c r="K52" s="65">
        <f t="shared" si="0"/>
        <v>0</v>
      </c>
      <c r="L52" s="65">
        <f t="shared" si="2"/>
        <v>0</v>
      </c>
      <c r="M52" s="65"/>
      <c r="N52" s="39"/>
      <c r="O52" s="39" t="str">
        <f>IF(OR(B52=B47,B52=B48,B52=B49,B52=B50,B52=B51),".",IF(AND(B52="",V52&lt;&gt;""),".",IF(AND(B52&lt;&gt;"",V52=""),".",IF(OR(B52=V47,B52=V48,B52=V49,B52=V50,B52=V51,B52=V52,B52=V53),B52,"."))))</f>
        <v>.</v>
      </c>
      <c r="P52" s="39" t="str">
        <f>IF($O52=".",".",IF($O52=$V47,W47,IF($O52=$V48,W48,IF($O52=$V49,W49,IF($O52=$V50,W50,IF($O52=$V51,W51,IF($O52=$V52,W52,IF($O52=$V53,W53,"."))))))))</f>
        <v>.</v>
      </c>
      <c r="Q52" s="39" t="str">
        <f t="shared" ref="Q52:S52" si="17">IF($O52=".",".",IF($O52=$V47,X47,IF($O52=$V48,X48,IF($O52=$V49,X49,IF($O52=$V50,X50,IF($O52=$V51,X51,IF($O52=$V52,X52,IF($O52=$V53,X53,"."))))))))</f>
        <v>.</v>
      </c>
      <c r="R52" s="39" t="str">
        <f t="shared" si="17"/>
        <v>.</v>
      </c>
      <c r="S52" s="39" t="str">
        <f t="shared" si="17"/>
        <v>.</v>
      </c>
      <c r="T52" s="39"/>
      <c r="U52" s="150"/>
      <c r="V52" s="82"/>
      <c r="W52" s="83"/>
      <c r="X52" s="83"/>
      <c r="Y52" s="83"/>
      <c r="Z52" s="84"/>
      <c r="AA52" s="39"/>
      <c r="AB52" s="29"/>
    </row>
    <row r="53" spans="1:28" x14ac:dyDescent="0.25">
      <c r="A53" s="61" t="s">
        <v>163</v>
      </c>
      <c r="B53" s="128"/>
      <c r="C53" s="118"/>
      <c r="D53" s="118"/>
      <c r="E53" s="118"/>
      <c r="F53" s="129"/>
      <c r="G53" s="62" t="s">
        <v>163</v>
      </c>
      <c r="H53" s="65">
        <f t="shared" si="1"/>
        <v>0</v>
      </c>
      <c r="I53" s="65">
        <f t="shared" si="0"/>
        <v>0</v>
      </c>
      <c r="J53" s="65">
        <f t="shared" si="0"/>
        <v>0</v>
      </c>
      <c r="K53" s="65">
        <f t="shared" si="0"/>
        <v>0</v>
      </c>
      <c r="L53" s="65">
        <f t="shared" si="2"/>
        <v>0</v>
      </c>
      <c r="M53" s="65"/>
      <c r="N53" s="39"/>
      <c r="O53" s="39" t="str">
        <f>IF(OR(B53=B47,B53=B48,B53=B49,B53=B50,B53=B51,B53=B52),".",IF(AND(B53="",V53&lt;&gt;""),".",IF(AND(B53&lt;&gt;"",V53=""),".",IF(OR(B53=V47,B53=V48,B53=V49,B53=V50,B53=V51,B53=V52,B53=V53),B53,"."))))</f>
        <v>.</v>
      </c>
      <c r="P53" s="39" t="str">
        <f>IF($O53=".",".",IF($O53=$V47,W47,IF($O53=$V48,W48,IF($O53=$V49,W49,IF($O53=$V50,W50,IF($O53=$V51,W51,IF($O53=$V52,W52,IF($O53=$V53,W53,"."))))))))</f>
        <v>.</v>
      </c>
      <c r="Q53" s="39" t="str">
        <f t="shared" ref="Q53:S53" si="18">IF($O53=".",".",IF($O53=$V47,X47,IF($O53=$V48,X48,IF($O53=$V49,X49,IF($O53=$V50,X50,IF($O53=$V51,X51,IF($O53=$V52,X52,IF($O53=$V53,X53,"."))))))))</f>
        <v>.</v>
      </c>
      <c r="R53" s="39" t="str">
        <f t="shared" si="18"/>
        <v>.</v>
      </c>
      <c r="S53" s="39" t="str">
        <f t="shared" si="18"/>
        <v>.</v>
      </c>
      <c r="T53" s="39"/>
      <c r="U53" s="150"/>
      <c r="V53" s="85"/>
      <c r="W53" s="86"/>
      <c r="X53" s="86"/>
      <c r="Y53" s="86"/>
      <c r="Z53" s="87"/>
      <c r="AA53" s="39"/>
      <c r="AB53" s="29"/>
    </row>
    <row r="54" spans="1:28" x14ac:dyDescent="0.25">
      <c r="A54" s="61" t="s">
        <v>163</v>
      </c>
      <c r="B54" s="130" t="s">
        <v>163</v>
      </c>
      <c r="C54" s="130" t="s">
        <v>163</v>
      </c>
      <c r="D54" s="130" t="s">
        <v>163</v>
      </c>
      <c r="E54" s="130" t="s">
        <v>163</v>
      </c>
      <c r="F54" s="130" t="s">
        <v>163</v>
      </c>
      <c r="G54" s="62" t="s">
        <v>163</v>
      </c>
      <c r="H54" s="39"/>
      <c r="I54" s="39"/>
      <c r="J54" s="39"/>
      <c r="K54" s="39"/>
      <c r="L54" s="39"/>
      <c r="M54" s="39"/>
      <c r="N54" s="39"/>
      <c r="O54" s="39"/>
      <c r="P54" s="39"/>
      <c r="Q54" s="39"/>
      <c r="R54" s="39"/>
      <c r="S54" s="39"/>
      <c r="T54" s="39"/>
      <c r="U54" s="39"/>
      <c r="V54" s="39"/>
      <c r="W54" s="39"/>
      <c r="X54" s="39"/>
      <c r="Y54" s="39"/>
      <c r="Z54" s="39"/>
      <c r="AA54" s="39"/>
      <c r="AB54" s="29"/>
    </row>
    <row r="55" spans="1:28" x14ac:dyDescent="0.25">
      <c r="G55" s="29"/>
      <c r="H55" s="39"/>
      <c r="K55" s="39"/>
      <c r="L55" s="39"/>
      <c r="M55" s="39"/>
      <c r="N55" s="39"/>
      <c r="O55" s="39"/>
      <c r="P55" s="39"/>
      <c r="Q55" s="39"/>
      <c r="R55" s="39"/>
      <c r="S55" s="39"/>
      <c r="T55" s="39"/>
      <c r="U55" s="39"/>
      <c r="V55" s="39"/>
      <c r="W55" s="39"/>
      <c r="X55" s="39"/>
      <c r="Y55" s="39"/>
      <c r="Z55" s="39"/>
      <c r="AA55" s="39"/>
      <c r="AB55" s="29"/>
    </row>
    <row r="56" spans="1:28" x14ac:dyDescent="0.25">
      <c r="A56" s="39" t="s">
        <v>112</v>
      </c>
      <c r="B56" s="39">
        <f>COUNTA(V31,V32,Z31:Z32,V34:V35,Z34:Z35,V38:Z53)</f>
        <v>24</v>
      </c>
      <c r="G56" s="29"/>
      <c r="H56" s="39"/>
      <c r="K56" s="39"/>
      <c r="L56" s="39"/>
      <c r="M56" s="39"/>
      <c r="N56" s="39"/>
      <c r="O56" s="39"/>
      <c r="P56" s="39"/>
      <c r="Q56" s="39"/>
      <c r="R56" s="39"/>
      <c r="S56" s="39"/>
      <c r="T56" s="39"/>
      <c r="U56" s="39"/>
      <c r="V56" s="39"/>
      <c r="W56" s="39"/>
      <c r="X56" s="39"/>
      <c r="Y56" s="39"/>
      <c r="Z56" s="39"/>
      <c r="AA56" s="39"/>
      <c r="AB56" s="29"/>
    </row>
    <row r="57" spans="1:28" x14ac:dyDescent="0.25">
      <c r="A57" s="39" t="s">
        <v>113</v>
      </c>
      <c r="B57" s="39">
        <f>SUM(H31:L53)</f>
        <v>0</v>
      </c>
      <c r="G57" s="29"/>
      <c r="H57" s="39"/>
      <c r="K57" s="39"/>
      <c r="L57" s="39"/>
      <c r="M57" s="39"/>
      <c r="N57" s="39"/>
      <c r="O57" s="39"/>
      <c r="P57" s="39"/>
      <c r="Q57" s="39"/>
      <c r="R57" s="39"/>
      <c r="S57" s="39"/>
      <c r="T57" s="39"/>
      <c r="U57" s="39"/>
      <c r="V57" s="39"/>
      <c r="W57" s="39"/>
      <c r="X57" s="39"/>
      <c r="Y57" s="39"/>
      <c r="Z57" s="39"/>
      <c r="AA57" s="39"/>
      <c r="AB57" s="29"/>
    </row>
    <row r="58" spans="1:28" x14ac:dyDescent="0.25">
      <c r="A58" s="39" t="s">
        <v>114</v>
      </c>
      <c r="B58" s="39">
        <f>+B56-B57</f>
        <v>24</v>
      </c>
      <c r="G58" s="29"/>
      <c r="H58" s="39"/>
      <c r="I58" s="39"/>
      <c r="J58" s="39"/>
      <c r="K58" s="39"/>
      <c r="L58" s="39"/>
      <c r="M58" s="39"/>
      <c r="N58" s="39"/>
      <c r="O58" s="39"/>
      <c r="P58" s="39"/>
      <c r="Q58" s="39"/>
      <c r="R58" s="39"/>
      <c r="S58" s="39"/>
      <c r="T58" s="39"/>
      <c r="U58" s="39"/>
      <c r="V58" s="39"/>
      <c r="W58" s="39"/>
      <c r="X58" s="39"/>
      <c r="Y58" s="39"/>
      <c r="Z58" s="39"/>
      <c r="AA58" s="39"/>
      <c r="AB58" s="29"/>
    </row>
    <row r="59" spans="1:28" x14ac:dyDescent="0.25">
      <c r="G59" s="29"/>
      <c r="H59" s="29"/>
      <c r="I59" s="29"/>
      <c r="J59" s="29"/>
      <c r="K59" s="29"/>
      <c r="L59" s="29"/>
      <c r="M59" s="29"/>
      <c r="N59" s="29"/>
      <c r="O59" s="29"/>
      <c r="P59" s="29"/>
      <c r="Q59" s="29"/>
      <c r="R59" s="29"/>
      <c r="S59" s="29"/>
      <c r="T59" s="29"/>
      <c r="U59" s="29"/>
      <c r="V59" s="29"/>
      <c r="W59" s="29"/>
      <c r="X59" s="29"/>
      <c r="Y59" s="29"/>
      <c r="Z59" s="29"/>
      <c r="AA59" s="29"/>
      <c r="AB59" s="29"/>
    </row>
    <row r="60" spans="1:28" x14ac:dyDescent="0.25">
      <c r="G60" s="29"/>
      <c r="H60" s="29"/>
      <c r="I60" s="29"/>
      <c r="J60" s="29"/>
      <c r="K60" s="29"/>
      <c r="L60" s="29"/>
      <c r="M60" s="29"/>
      <c r="N60" s="29"/>
      <c r="O60" s="29"/>
      <c r="P60" s="29"/>
      <c r="Q60" s="29"/>
      <c r="R60" s="29"/>
      <c r="S60" s="29"/>
      <c r="T60" s="29"/>
      <c r="U60" s="29"/>
      <c r="V60" s="29"/>
      <c r="W60" s="29"/>
      <c r="X60" s="29"/>
      <c r="Y60" s="29"/>
      <c r="Z60" s="29"/>
      <c r="AA60" s="29"/>
      <c r="AB60" s="29"/>
    </row>
    <row r="61" spans="1:28" x14ac:dyDescent="0.25">
      <c r="G61" s="29"/>
      <c r="H61" s="29"/>
      <c r="I61" s="29"/>
      <c r="J61" s="29"/>
      <c r="K61" s="29"/>
      <c r="L61" s="29"/>
      <c r="M61" s="29"/>
      <c r="N61" s="29"/>
      <c r="O61" s="29"/>
      <c r="P61" s="29"/>
      <c r="Q61" s="29"/>
      <c r="R61" s="29"/>
      <c r="S61" s="29"/>
      <c r="T61" s="29"/>
      <c r="U61" s="29"/>
      <c r="V61" s="29"/>
      <c r="W61" s="29"/>
      <c r="X61" s="29"/>
      <c r="Y61" s="29"/>
      <c r="Z61" s="29"/>
      <c r="AA61" s="29"/>
      <c r="AB61" s="29"/>
    </row>
    <row r="62" spans="1:28" x14ac:dyDescent="0.25">
      <c r="G62" s="29"/>
      <c r="H62" s="29"/>
      <c r="I62" s="29"/>
      <c r="J62" s="29"/>
      <c r="K62" s="29"/>
      <c r="L62" s="29"/>
      <c r="M62" s="29"/>
      <c r="N62" s="29"/>
      <c r="O62" s="29"/>
      <c r="P62" s="29"/>
      <c r="Q62" s="29"/>
      <c r="R62" s="29"/>
      <c r="S62" s="29"/>
      <c r="T62" s="29"/>
      <c r="U62" s="29"/>
      <c r="V62" s="29"/>
      <c r="W62" s="29"/>
      <c r="X62" s="29"/>
      <c r="Y62" s="29"/>
      <c r="Z62" s="29"/>
      <c r="AA62" s="29"/>
      <c r="AB62" s="29"/>
    </row>
    <row r="63" spans="1:28" x14ac:dyDescent="0.25">
      <c r="G63" s="29"/>
      <c r="H63" s="29"/>
      <c r="I63" s="29"/>
      <c r="J63" s="29"/>
      <c r="K63" s="29"/>
      <c r="L63" s="29"/>
      <c r="M63" s="29"/>
      <c r="N63" s="29"/>
      <c r="O63" s="29"/>
      <c r="P63" s="29"/>
      <c r="Q63" s="29"/>
      <c r="R63" s="29"/>
      <c r="S63" s="29"/>
      <c r="T63" s="29"/>
      <c r="U63" s="29"/>
      <c r="V63" s="29"/>
      <c r="W63" s="29"/>
      <c r="X63" s="29"/>
      <c r="Y63" s="29"/>
      <c r="Z63" s="29"/>
      <c r="AA63" s="29"/>
    </row>
  </sheetData>
  <sheetProtection selectLockedCells="1"/>
  <mergeCells count="33">
    <mergeCell ref="B30:F30"/>
    <mergeCell ref="B33:F33"/>
    <mergeCell ref="B36:F36"/>
    <mergeCell ref="B45:F45"/>
    <mergeCell ref="A26:F26"/>
    <mergeCell ref="A27:F27"/>
    <mergeCell ref="A24:F24"/>
    <mergeCell ref="A25:F25"/>
    <mergeCell ref="B29:F29"/>
    <mergeCell ref="A23:F23"/>
    <mergeCell ref="A21:F21"/>
    <mergeCell ref="A22:F22"/>
    <mergeCell ref="A15:F15"/>
    <mergeCell ref="A16:F16"/>
    <mergeCell ref="A17:F17"/>
    <mergeCell ref="A18:F18"/>
    <mergeCell ref="A19:F19"/>
    <mergeCell ref="A6:F6"/>
    <mergeCell ref="A7:F7"/>
    <mergeCell ref="A8:F8"/>
    <mergeCell ref="A9:F9"/>
    <mergeCell ref="U47:U53"/>
    <mergeCell ref="B31:E31"/>
    <mergeCell ref="B32:E32"/>
    <mergeCell ref="B34:E34"/>
    <mergeCell ref="B35:E35"/>
    <mergeCell ref="U38:U44"/>
    <mergeCell ref="A10:F10"/>
    <mergeCell ref="A11:F11"/>
    <mergeCell ref="A12:F12"/>
    <mergeCell ref="A13:F13"/>
    <mergeCell ref="A14:F14"/>
    <mergeCell ref="A20:F20"/>
  </mergeCells>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43B9741D-BD3F-4AE6-808A-257CC1A9E3EB}">
          <x14:formula1>
            <xm:f>lists!$A$11:$A$14</xm:f>
          </x14:formula1>
          <xm:sqref>F38:F44 F47:F53 Z38:Z53</xm:sqref>
        </x14:dataValidation>
        <x14:dataValidation type="list" allowBlank="1" showInputMessage="1" showErrorMessage="1" xr:uid="{4725063D-B4E3-4A78-97FD-A939713B0788}">
          <x14:formula1>
            <xm:f>lists!$B$11:$B$33</xm:f>
          </x14:formula1>
          <xm:sqref>B31:E32 V31:V32 B34:E35 V34:V35 V38:V53 B38:B45 B47:B53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CD6B8-050A-47E9-AB90-D7585446388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C32A5-254A-4455-94F2-FF3EECC563EA}">
  <dimension ref="A1:G35"/>
  <sheetViews>
    <sheetView zoomScaleNormal="100" workbookViewId="0"/>
  </sheetViews>
  <sheetFormatPr defaultRowHeight="15" x14ac:dyDescent="0.25"/>
  <cols>
    <col min="1" max="1" width="31.140625" customWidth="1"/>
    <col min="2" max="3" width="9.85546875" bestFit="1" customWidth="1"/>
    <col min="5" max="5" width="3.140625" customWidth="1"/>
    <col min="6" max="6" width="44.42578125" customWidth="1"/>
    <col min="7" max="7" width="9.85546875" bestFit="1" customWidth="1"/>
  </cols>
  <sheetData>
    <row r="1" spans="1:7" x14ac:dyDescent="0.25">
      <c r="A1" s="9" t="s">
        <v>36</v>
      </c>
      <c r="B1" s="9"/>
      <c r="C1" s="9"/>
      <c r="D1" s="9"/>
      <c r="E1" s="9"/>
      <c r="F1" s="9"/>
      <c r="G1" s="9"/>
    </row>
    <row r="3" spans="1:7" ht="29.25" customHeight="1" x14ac:dyDescent="0.25">
      <c r="A3" s="136" t="str">
        <f>"Required:  Use the financial statements and other information provided below to prepare a statement of cash flows for "&amp;lists!B1&amp;" for fiscal year "&amp;lists!B3&amp;".  Use the DIRECT method."</f>
        <v>Required:  Use the financial statements and other information provided below to prepare a statement of cash flows for Fox Corporation for fiscal year 2026.  Use the DIRECT method.</v>
      </c>
      <c r="B3" s="136"/>
      <c r="C3" s="136"/>
      <c r="D3" s="136"/>
      <c r="E3" s="136"/>
      <c r="F3" s="136"/>
      <c r="G3" s="136"/>
    </row>
    <row r="5" spans="1:7" x14ac:dyDescent="0.25">
      <c r="A5" s="13" t="str">
        <f>+lists!B1</f>
        <v>Fox Corporation</v>
      </c>
      <c r="B5" s="14"/>
      <c r="C5" s="15"/>
      <c r="E5" s="13" t="str">
        <f>+lists!B1</f>
        <v>Fox Corporation</v>
      </c>
      <c r="F5" s="14"/>
      <c r="G5" s="15"/>
    </row>
    <row r="6" spans="1:7" x14ac:dyDescent="0.25">
      <c r="A6" s="16" t="s">
        <v>0</v>
      </c>
      <c r="B6" s="17"/>
      <c r="C6" s="18"/>
      <c r="E6" s="16" t="s">
        <v>1</v>
      </c>
      <c r="F6" s="17"/>
      <c r="G6" s="18"/>
    </row>
    <row r="7" spans="1:7" x14ac:dyDescent="0.25">
      <c r="A7" s="16" t="str">
        <f>+lists!N13</f>
        <v>December 31, 2026 and 2025</v>
      </c>
      <c r="B7" s="17"/>
      <c r="C7" s="18"/>
      <c r="E7" s="16" t="str">
        <f>+lists!N14</f>
        <v>For the year ended December 31, 2026</v>
      </c>
      <c r="F7" s="17"/>
      <c r="G7" s="18"/>
    </row>
    <row r="8" spans="1:7" x14ac:dyDescent="0.25">
      <c r="A8" s="19"/>
      <c r="B8" s="10"/>
      <c r="C8" s="5"/>
      <c r="E8" s="19"/>
      <c r="F8" s="10"/>
      <c r="G8" s="5"/>
    </row>
    <row r="9" spans="1:7" x14ac:dyDescent="0.25">
      <c r="A9" s="19"/>
      <c r="B9" s="28" t="s">
        <v>128</v>
      </c>
      <c r="C9" s="18"/>
      <c r="E9" s="19" t="str">
        <f>+lists!B26</f>
        <v>Sales</v>
      </c>
      <c r="F9" s="10"/>
      <c r="G9" s="23">
        <v>623600</v>
      </c>
    </row>
    <row r="10" spans="1:7" x14ac:dyDescent="0.25">
      <c r="A10" s="19"/>
      <c r="B10" s="20">
        <f>+lists!B3</f>
        <v>2026</v>
      </c>
      <c r="C10" s="21">
        <f>+lists!B3-1</f>
        <v>2025</v>
      </c>
      <c r="E10" s="19" t="str">
        <f>+lists!B17</f>
        <v>Cost of Goods Sold</v>
      </c>
      <c r="F10" s="10"/>
      <c r="G10" s="23">
        <v>296000</v>
      </c>
    </row>
    <row r="11" spans="1:7" x14ac:dyDescent="0.25">
      <c r="A11" s="22" t="s">
        <v>4</v>
      </c>
      <c r="B11" s="10"/>
      <c r="C11" s="5"/>
      <c r="E11" s="19" t="s">
        <v>5</v>
      </c>
      <c r="F11" s="10"/>
      <c r="G11" s="11">
        <f>+G9-G10</f>
        <v>327600</v>
      </c>
    </row>
    <row r="12" spans="1:7" x14ac:dyDescent="0.25">
      <c r="A12" s="19" t="str">
        <f>+lists!B15</f>
        <v>Cash</v>
      </c>
      <c r="B12" s="8">
        <v>93000</v>
      </c>
      <c r="C12" s="23">
        <v>85000</v>
      </c>
      <c r="E12" s="19" t="str">
        <f>+lists!B18</f>
        <v>Depreciation Expense</v>
      </c>
      <c r="F12" s="10"/>
      <c r="G12" s="23">
        <v>87000</v>
      </c>
    </row>
    <row r="13" spans="1:7" x14ac:dyDescent="0.25">
      <c r="A13" s="19" t="str">
        <f>+lists!B13</f>
        <v>Accounts Receivable</v>
      </c>
      <c r="B13" s="8">
        <v>95000</v>
      </c>
      <c r="C13" s="23">
        <v>37000</v>
      </c>
      <c r="E13" s="19" t="s">
        <v>9</v>
      </c>
      <c r="F13" s="10"/>
      <c r="G13" s="23">
        <v>158000</v>
      </c>
    </row>
    <row r="14" spans="1:7" x14ac:dyDescent="0.25">
      <c r="A14" s="19" t="str">
        <f>+lists!B23</f>
        <v>Merchandise Inventory</v>
      </c>
      <c r="B14" s="8">
        <v>149000</v>
      </c>
      <c r="C14" s="23">
        <v>145000</v>
      </c>
      <c r="E14" s="19" t="s">
        <v>10</v>
      </c>
      <c r="F14" s="10"/>
      <c r="G14" s="11">
        <f>+G11-G12-G13</f>
        <v>82600</v>
      </c>
    </row>
    <row r="15" spans="1:7" x14ac:dyDescent="0.25">
      <c r="A15" s="19" t="s">
        <v>236</v>
      </c>
      <c r="B15" s="8"/>
      <c r="C15" s="23"/>
      <c r="E15" s="19" t="s">
        <v>11</v>
      </c>
      <c r="F15" s="10"/>
      <c r="G15" s="23"/>
    </row>
    <row r="16" spans="1:7" x14ac:dyDescent="0.25">
      <c r="A16" s="19" t="s">
        <v>237</v>
      </c>
      <c r="B16" s="8"/>
      <c r="C16" s="23"/>
      <c r="E16" s="19" t="s">
        <v>239</v>
      </c>
      <c r="F16" s="10"/>
      <c r="G16" s="23"/>
    </row>
    <row r="17" spans="1:7" x14ac:dyDescent="0.25">
      <c r="A17" s="19" t="str">
        <f>+lists!B19</f>
        <v>Equipment</v>
      </c>
      <c r="B17" s="8">
        <v>298000</v>
      </c>
      <c r="C17" s="23">
        <v>355000</v>
      </c>
      <c r="E17" s="19" t="s">
        <v>238</v>
      </c>
      <c r="F17" s="10"/>
      <c r="G17" s="23"/>
    </row>
    <row r="18" spans="1:7" x14ac:dyDescent="0.25">
      <c r="A18" s="19" t="str">
        <f>+lists!B14</f>
        <v>Accum. Depr.</v>
      </c>
      <c r="B18" s="8">
        <v>-7000</v>
      </c>
      <c r="C18" s="23">
        <v>-108000</v>
      </c>
      <c r="E18" s="19" t="str">
        <f>+lists!B22</f>
        <v>Loss on sale of Equipment</v>
      </c>
      <c r="F18" s="10"/>
      <c r="G18" s="23">
        <v>-69000</v>
      </c>
    </row>
    <row r="19" spans="1:7" x14ac:dyDescent="0.25">
      <c r="A19" s="19" t="s">
        <v>12</v>
      </c>
      <c r="B19" s="7">
        <f>SUM(B12:B18)</f>
        <v>628000</v>
      </c>
      <c r="C19" s="11">
        <f>SUM(C12:C18)</f>
        <v>514000</v>
      </c>
      <c r="E19" s="19" t="s">
        <v>13</v>
      </c>
      <c r="F19" s="10"/>
      <c r="G19" s="11">
        <f>+G14+G18</f>
        <v>13600</v>
      </c>
    </row>
    <row r="20" spans="1:7" x14ac:dyDescent="0.25">
      <c r="A20" s="19"/>
      <c r="B20" s="8"/>
      <c r="C20" s="23"/>
      <c r="E20" s="19" t="str">
        <f>+lists!B20</f>
        <v>Income Taxes Expense</v>
      </c>
      <c r="F20" s="10"/>
      <c r="G20" s="23">
        <v>4100</v>
      </c>
    </row>
    <row r="21" spans="1:7" x14ac:dyDescent="0.25">
      <c r="A21" s="22" t="s">
        <v>15</v>
      </c>
      <c r="B21" s="8"/>
      <c r="C21" s="23"/>
      <c r="E21" s="24" t="s">
        <v>16</v>
      </c>
      <c r="F21" s="6"/>
      <c r="G21" s="27">
        <f>+G19-G20</f>
        <v>9500</v>
      </c>
    </row>
    <row r="22" spans="1:7" x14ac:dyDescent="0.25">
      <c r="A22" s="19" t="str">
        <f>+lists!B12</f>
        <v>Accounts Payable</v>
      </c>
      <c r="B22" s="8">
        <v>56000</v>
      </c>
      <c r="C22" s="23">
        <v>142000</v>
      </c>
      <c r="G22" s="3"/>
    </row>
    <row r="23" spans="1:7" x14ac:dyDescent="0.25">
      <c r="A23" s="19" t="str">
        <f>+lists!B28</f>
        <v>Wages Payable</v>
      </c>
      <c r="B23" s="8">
        <v>39500</v>
      </c>
      <c r="C23" s="23">
        <v>37000</v>
      </c>
      <c r="E23" s="25" t="s">
        <v>18</v>
      </c>
      <c r="F23" s="4"/>
      <c r="G23" s="11"/>
    </row>
    <row r="24" spans="1:7" x14ac:dyDescent="0.25">
      <c r="A24" s="19" t="str">
        <f>+lists!B27</f>
        <v>Short-Term Note Payable</v>
      </c>
      <c r="B24" s="8">
        <v>96000</v>
      </c>
      <c r="C24" s="23">
        <v>91000</v>
      </c>
      <c r="E24" s="19" t="s">
        <v>19</v>
      </c>
      <c r="F24" s="10" t="str">
        <f>+lists!N20</f>
        <v>Cash paid for other operating expenses</v>
      </c>
      <c r="G24" s="23">
        <f>+lists!O20</f>
        <v>158000</v>
      </c>
    </row>
    <row r="25" spans="1:7" x14ac:dyDescent="0.25">
      <c r="A25" s="19" t="str">
        <f>+lists!B21</f>
        <v>Long-term Note Payable</v>
      </c>
      <c r="B25" s="8">
        <v>156000</v>
      </c>
      <c r="C25" s="23">
        <v>0</v>
      </c>
      <c r="E25" s="19" t="s">
        <v>20</v>
      </c>
      <c r="F25" s="10" t="str">
        <f>+lists!N21</f>
        <v>Cash received from borrowing on short-term note payable</v>
      </c>
      <c r="G25" s="23">
        <f>+lists!O21</f>
        <v>5000</v>
      </c>
    </row>
    <row r="26" spans="1:7" x14ac:dyDescent="0.25">
      <c r="A26" s="19" t="str">
        <f>+lists!B16</f>
        <v>Common Stock</v>
      </c>
      <c r="B26" s="8">
        <v>262000</v>
      </c>
      <c r="C26" s="23">
        <v>185000</v>
      </c>
      <c r="E26" s="19" t="s">
        <v>22</v>
      </c>
      <c r="F26" s="10" t="str">
        <f>+lists!N22</f>
        <v>Acquired equipment by signing long-term note payable</v>
      </c>
      <c r="G26" s="23">
        <f>+lists!O22</f>
        <v>156000</v>
      </c>
    </row>
    <row r="27" spans="1:7" x14ac:dyDescent="0.25">
      <c r="A27" s="19" t="str">
        <f>+lists!B25</f>
        <v>Retained Earnings</v>
      </c>
      <c r="B27" s="8">
        <v>18500</v>
      </c>
      <c r="C27" s="23">
        <v>59000</v>
      </c>
      <c r="E27" s="19" t="s">
        <v>25</v>
      </c>
      <c r="F27" s="10" t="str">
        <f>+lists!N23</f>
        <v>Cash dividends paid</v>
      </c>
      <c r="G27" s="23">
        <f>+lists!O23</f>
        <v>50000</v>
      </c>
    </row>
    <row r="28" spans="1:7" x14ac:dyDescent="0.25">
      <c r="A28" s="24" t="s">
        <v>12</v>
      </c>
      <c r="B28" s="26">
        <f>SUM(B22:B27)</f>
        <v>628000</v>
      </c>
      <c r="C28" s="27">
        <f>SUM(C22:C27)</f>
        <v>514000</v>
      </c>
      <c r="E28" s="19" t="s">
        <v>27</v>
      </c>
      <c r="F28" s="10" t="str">
        <f>+lists!N24</f>
        <v>Cash received from sale of Fox Corp's common stock</v>
      </c>
      <c r="G28" s="23">
        <f>+lists!O24</f>
        <v>77000</v>
      </c>
    </row>
    <row r="29" spans="1:7" x14ac:dyDescent="0.25">
      <c r="E29" s="19" t="s">
        <v>29</v>
      </c>
      <c r="F29" s="10" t="str">
        <f>+lists!N25</f>
        <v>Cash paid for equipment</v>
      </c>
      <c r="G29" s="23">
        <f>+lists!O25</f>
        <v>82000</v>
      </c>
    </row>
    <row r="30" spans="1:7" x14ac:dyDescent="0.25">
      <c r="E30" s="19" t="s">
        <v>30</v>
      </c>
      <c r="F30" s="10" t="str">
        <f>+lists!N26</f>
        <v>Cash paid for merchandise inventory</v>
      </c>
      <c r="G30" s="23">
        <f>+lists!O26</f>
        <v>386000</v>
      </c>
    </row>
    <row r="31" spans="1:7" x14ac:dyDescent="0.25">
      <c r="E31" s="19" t="s">
        <v>32</v>
      </c>
      <c r="F31" s="10" t="str">
        <f>+lists!N27</f>
        <v>Cash received from customers</v>
      </c>
      <c r="G31" s="23">
        <f>+lists!O27</f>
        <v>565600</v>
      </c>
    </row>
    <row r="32" spans="1:7" x14ac:dyDescent="0.25">
      <c r="E32" s="19" t="s">
        <v>33</v>
      </c>
      <c r="F32" s="10" t="str">
        <f>+lists!N28</f>
        <v>Cash received from sale of equipment</v>
      </c>
      <c r="G32" s="23">
        <f>+lists!O28</f>
        <v>38000</v>
      </c>
    </row>
    <row r="33" spans="5:7" x14ac:dyDescent="0.25">
      <c r="E33" s="19" t="s">
        <v>34</v>
      </c>
      <c r="F33" s="10" t="str">
        <f>+lists!N29</f>
        <v>Cash paid for income taxes</v>
      </c>
      <c r="G33" s="23">
        <f>+lists!O29</f>
        <v>1600</v>
      </c>
    </row>
    <row r="34" spans="5:7" x14ac:dyDescent="0.25">
      <c r="E34" s="19" t="s">
        <v>35</v>
      </c>
      <c r="F34" s="10" t="s">
        <v>240</v>
      </c>
      <c r="G34" s="23"/>
    </row>
    <row r="35" spans="5:7" x14ac:dyDescent="0.25">
      <c r="E35" s="24" t="s">
        <v>126</v>
      </c>
      <c r="F35" s="6" t="s">
        <v>241</v>
      </c>
      <c r="G35" s="12"/>
    </row>
  </sheetData>
  <mergeCells count="1">
    <mergeCell ref="A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5544E-D462-467C-A7B9-AE85CCD89821}">
  <dimension ref="A1:R159"/>
  <sheetViews>
    <sheetView workbookViewId="0">
      <selection activeCell="B1" sqref="B1"/>
    </sheetView>
  </sheetViews>
  <sheetFormatPr defaultRowHeight="15" x14ac:dyDescent="0.25"/>
  <cols>
    <col min="5" max="5" width="16.85546875" customWidth="1"/>
    <col min="6" max="6" width="19.7109375" customWidth="1"/>
    <col min="7" max="7" width="18" customWidth="1"/>
    <col min="8" max="8" width="18.140625" bestFit="1" customWidth="1"/>
    <col min="14" max="14" width="26.140625" customWidth="1"/>
  </cols>
  <sheetData>
    <row r="1" spans="1:18" x14ac:dyDescent="0.25">
      <c r="A1" t="s">
        <v>145</v>
      </c>
      <c r="B1" s="31" t="s">
        <v>195</v>
      </c>
      <c r="C1" s="32" t="s">
        <v>146</v>
      </c>
      <c r="D1" s="33"/>
      <c r="E1" s="32" t="s">
        <v>147</v>
      </c>
      <c r="F1" s="34"/>
      <c r="I1" s="31" t="str">
        <f>"Information about "&amp;B1&amp;"'s stockholders' equity as of "&amp;B4&amp;" "&amp;B5&amp;", "&amp;B3&amp;", is provided below:"</f>
        <v>Information about Fox Corporation's stockholders' equity as of January 1, 2026, is provided below:</v>
      </c>
    </row>
    <row r="2" spans="1:18" x14ac:dyDescent="0.25">
      <c r="A2" t="s">
        <v>148</v>
      </c>
      <c r="B2" s="31" t="s">
        <v>196</v>
      </c>
      <c r="C2" s="32" t="s">
        <v>149</v>
      </c>
      <c r="D2" s="35"/>
      <c r="E2" s="32" t="s">
        <v>150</v>
      </c>
      <c r="F2" s="34"/>
      <c r="I2" s="31"/>
    </row>
    <row r="3" spans="1:18" x14ac:dyDescent="0.25">
      <c r="A3" t="s">
        <v>151</v>
      </c>
      <c r="B3" s="36">
        <v>2026</v>
      </c>
      <c r="C3" s="32" t="s">
        <v>152</v>
      </c>
      <c r="D3" s="35"/>
      <c r="E3" s="32" t="s">
        <v>153</v>
      </c>
      <c r="F3" s="34"/>
      <c r="I3" s="31"/>
    </row>
    <row r="4" spans="1:18" x14ac:dyDescent="0.25">
      <c r="A4" t="s">
        <v>154</v>
      </c>
      <c r="B4" s="36" t="s">
        <v>155</v>
      </c>
      <c r="C4" s="32" t="s">
        <v>156</v>
      </c>
      <c r="D4" s="35"/>
      <c r="E4" s="32" t="s">
        <v>157</v>
      </c>
      <c r="F4" s="34"/>
      <c r="I4" s="31"/>
    </row>
    <row r="5" spans="1:18" x14ac:dyDescent="0.25">
      <c r="A5" t="s">
        <v>158</v>
      </c>
      <c r="B5" s="36">
        <v>1</v>
      </c>
      <c r="C5" s="32"/>
      <c r="D5" s="37"/>
      <c r="E5" s="32" t="s">
        <v>159</v>
      </c>
      <c r="F5" s="38"/>
      <c r="G5" s="31"/>
      <c r="H5" s="31"/>
      <c r="I5" s="31" t="str">
        <f>"Selected transactions of "&amp;B1&amp;" are described below."</f>
        <v>Selected transactions of Fox Corporation are described below.</v>
      </c>
    </row>
    <row r="6" spans="1:18" x14ac:dyDescent="0.25">
      <c r="B6" s="36" t="s">
        <v>160</v>
      </c>
      <c r="E6" t="s">
        <v>161</v>
      </c>
      <c r="F6" s="31"/>
      <c r="I6" s="31"/>
    </row>
    <row r="7" spans="1:18" x14ac:dyDescent="0.25">
      <c r="B7" s="36">
        <v>31</v>
      </c>
    </row>
    <row r="9" spans="1:18" x14ac:dyDescent="0.25">
      <c r="B9" t="s">
        <v>55</v>
      </c>
      <c r="E9" t="s">
        <v>58</v>
      </c>
      <c r="N9" t="s">
        <v>57</v>
      </c>
      <c r="R9" t="s">
        <v>56</v>
      </c>
    </row>
    <row r="11" spans="1:18" x14ac:dyDescent="0.25">
      <c r="E11" s="2" t="s">
        <v>59</v>
      </c>
      <c r="F11" s="2" t="s">
        <v>60</v>
      </c>
      <c r="G11" s="2" t="s">
        <v>61</v>
      </c>
      <c r="H11" s="2" t="s">
        <v>62</v>
      </c>
      <c r="I11" s="2" t="s">
        <v>63</v>
      </c>
      <c r="J11" s="2" t="s">
        <v>64</v>
      </c>
    </row>
    <row r="12" spans="1:18" x14ac:dyDescent="0.25">
      <c r="A12" t="s">
        <v>111</v>
      </c>
      <c r="B12" s="31" t="s">
        <v>17</v>
      </c>
      <c r="E12" s="31" t="str">
        <f>E$11&amp;" "&amp;$B12</f>
        <v>Add increase in  Accounts Payable</v>
      </c>
      <c r="F12" s="31" t="str">
        <f t="shared" ref="F12:J27" si="0">F$11&amp;" "&amp;$B12</f>
        <v>Deduct increase in Accounts Payable</v>
      </c>
      <c r="G12" s="31" t="str">
        <f t="shared" si="0"/>
        <v>Add decrease in Accounts Payable</v>
      </c>
      <c r="H12" s="31" t="str">
        <f t="shared" si="0"/>
        <v>Deduct decrease in Accounts Payable</v>
      </c>
      <c r="I12" s="31" t="str">
        <f t="shared" si="0"/>
        <v>Add  Accounts Payable</v>
      </c>
      <c r="J12" s="31" t="str">
        <f t="shared" si="0"/>
        <v>Deduct Accounts Payable</v>
      </c>
      <c r="K12" s="31"/>
      <c r="L12" s="31"/>
      <c r="R12" s="31" t="s">
        <v>4</v>
      </c>
    </row>
    <row r="13" spans="1:18" x14ac:dyDescent="0.25">
      <c r="A13" t="s">
        <v>110</v>
      </c>
      <c r="B13" s="31" t="s">
        <v>8</v>
      </c>
      <c r="E13" s="31" t="str">
        <f t="shared" ref="E13:J29" si="1">E$11&amp;" "&amp;$B13</f>
        <v>Add increase in  Accounts Receivable</v>
      </c>
      <c r="F13" s="31" t="str">
        <f t="shared" si="0"/>
        <v>Deduct increase in Accounts Receivable</v>
      </c>
      <c r="G13" s="31" t="str">
        <f t="shared" si="0"/>
        <v>Add decrease in Accounts Receivable</v>
      </c>
      <c r="H13" s="31" t="str">
        <f t="shared" si="0"/>
        <v>Deduct decrease in Accounts Receivable</v>
      </c>
      <c r="I13" s="31" t="str">
        <f t="shared" si="0"/>
        <v>Add  Accounts Receivable</v>
      </c>
      <c r="J13" s="31" t="str">
        <f t="shared" si="0"/>
        <v>Deduct Accounts Receivable</v>
      </c>
      <c r="K13" s="31"/>
      <c r="L13" s="31"/>
      <c r="N13" t="str">
        <f>B6&amp;" "&amp;B7&amp;", "&amp;B3&amp;" and "&amp;B3-1</f>
        <v>December 31, 2026 and 2025</v>
      </c>
      <c r="R13" s="31" t="s">
        <v>50</v>
      </c>
    </row>
    <row r="14" spans="1:18" x14ac:dyDescent="0.25">
      <c r="B14" s="31" t="s">
        <v>45</v>
      </c>
      <c r="E14" s="31" t="str">
        <f t="shared" si="1"/>
        <v>Add increase in  Accum. Depr.</v>
      </c>
      <c r="F14" s="31" t="str">
        <f t="shared" si="0"/>
        <v>Deduct increase in Accum. Depr.</v>
      </c>
      <c r="G14" s="31" t="str">
        <f t="shared" si="0"/>
        <v>Add decrease in Accum. Depr.</v>
      </c>
      <c r="H14" s="31" t="str">
        <f t="shared" si="0"/>
        <v>Deduct decrease in Accum. Depr.</v>
      </c>
      <c r="I14" s="31" t="str">
        <f t="shared" si="0"/>
        <v>Add  Accum. Depr.</v>
      </c>
      <c r="J14" s="31" t="str">
        <f t="shared" si="0"/>
        <v>Deduct Accum. Depr.</v>
      </c>
      <c r="K14" s="31"/>
      <c r="L14" s="31"/>
      <c r="N14" t="str">
        <f>"For the year ended "&amp;B6&amp;" "&amp;B7&amp;", "&amp;B3</f>
        <v>For the year ended December 31, 2026</v>
      </c>
      <c r="R14" s="31" t="s">
        <v>53</v>
      </c>
    </row>
    <row r="15" spans="1:18" x14ac:dyDescent="0.25">
      <c r="B15" s="31" t="s">
        <v>6</v>
      </c>
      <c r="E15" s="31" t="str">
        <f t="shared" si="1"/>
        <v>Add increase in  Cash</v>
      </c>
      <c r="F15" s="31" t="str">
        <f t="shared" si="0"/>
        <v>Deduct increase in Cash</v>
      </c>
      <c r="G15" s="31" t="str">
        <f t="shared" si="0"/>
        <v>Add decrease in Cash</v>
      </c>
      <c r="H15" s="31" t="str">
        <f t="shared" si="0"/>
        <v>Deduct decrease in Cash</v>
      </c>
      <c r="I15" s="31" t="str">
        <f t="shared" si="0"/>
        <v>Add  Cash</v>
      </c>
      <c r="J15" s="31" t="str">
        <f t="shared" si="0"/>
        <v>Deduct Cash</v>
      </c>
      <c r="K15" s="31"/>
      <c r="L15" s="31"/>
      <c r="N15" s="1" t="str">
        <f>B6&amp;" "&amp;B7&amp;", "&amp;B3</f>
        <v>December 31, 2026</v>
      </c>
      <c r="R15" s="31" t="s">
        <v>41</v>
      </c>
    </row>
    <row r="16" spans="1:18" x14ac:dyDescent="0.25">
      <c r="B16" s="31" t="s">
        <v>125</v>
      </c>
      <c r="E16" s="31" t="str">
        <f t="shared" si="1"/>
        <v>Add increase in  Common Stock</v>
      </c>
      <c r="F16" s="31" t="str">
        <f t="shared" si="0"/>
        <v>Deduct increase in Common Stock</v>
      </c>
      <c r="G16" s="31" t="str">
        <f t="shared" si="0"/>
        <v>Add decrease in Common Stock</v>
      </c>
      <c r="H16" s="31" t="str">
        <f t="shared" si="0"/>
        <v>Deduct decrease in Common Stock</v>
      </c>
      <c r="I16" s="31" t="str">
        <f t="shared" si="0"/>
        <v>Add  Common Stock</v>
      </c>
      <c r="J16" s="31" t="str">
        <f t="shared" si="0"/>
        <v>Deduct Common Stock</v>
      </c>
      <c r="K16" s="31"/>
      <c r="L16" s="31"/>
      <c r="R16" s="31" t="s">
        <v>39</v>
      </c>
    </row>
    <row r="17" spans="2:18" x14ac:dyDescent="0.25">
      <c r="B17" s="31" t="s">
        <v>3</v>
      </c>
      <c r="E17" s="31" t="str">
        <f t="shared" si="1"/>
        <v>Add increase in  Cost of Goods Sold</v>
      </c>
      <c r="F17" s="31" t="str">
        <f t="shared" si="0"/>
        <v>Deduct increase in Cost of Goods Sold</v>
      </c>
      <c r="G17" s="31" t="str">
        <f t="shared" si="0"/>
        <v>Add decrease in Cost of Goods Sold</v>
      </c>
      <c r="H17" s="31" t="str">
        <f t="shared" si="0"/>
        <v>Deduct decrease in Cost of Goods Sold</v>
      </c>
      <c r="I17" s="31" t="str">
        <f t="shared" si="0"/>
        <v>Add  Cost of Goods Sold</v>
      </c>
      <c r="J17" s="31" t="str">
        <f t="shared" si="0"/>
        <v>Deduct Cost of Goods Sold</v>
      </c>
      <c r="K17" s="31"/>
      <c r="L17" s="31"/>
      <c r="R17" s="31" t="s">
        <v>37</v>
      </c>
    </row>
    <row r="18" spans="2:18" x14ac:dyDescent="0.25">
      <c r="B18" s="31" t="s">
        <v>7</v>
      </c>
      <c r="E18" s="31" t="str">
        <f t="shared" si="1"/>
        <v>Add increase in  Depreciation Expense</v>
      </c>
      <c r="F18" s="31" t="str">
        <f t="shared" si="0"/>
        <v>Deduct increase in Depreciation Expense</v>
      </c>
      <c r="G18" s="31" t="str">
        <f t="shared" si="0"/>
        <v>Add decrease in Depreciation Expense</v>
      </c>
      <c r="H18" s="31" t="str">
        <f t="shared" si="0"/>
        <v>Deduct decrease in Depreciation Expense</v>
      </c>
      <c r="I18" s="31" t="str">
        <f t="shared" si="0"/>
        <v>Add  Depreciation Expense</v>
      </c>
      <c r="J18" s="31" t="str">
        <f t="shared" si="0"/>
        <v>Deduct Depreciation Expense</v>
      </c>
      <c r="K18" s="31"/>
      <c r="L18" s="31"/>
      <c r="R18" s="135" t="s">
        <v>127</v>
      </c>
    </row>
    <row r="19" spans="2:18" x14ac:dyDescent="0.25">
      <c r="B19" s="31" t="s">
        <v>202</v>
      </c>
      <c r="E19" s="31" t="str">
        <f t="shared" si="1"/>
        <v>Add increase in  Equipment</v>
      </c>
      <c r="F19" s="31" t="str">
        <f t="shared" si="0"/>
        <v>Deduct increase in Equipment</v>
      </c>
      <c r="G19" s="31" t="str">
        <f t="shared" si="0"/>
        <v>Add decrease in Equipment</v>
      </c>
      <c r="H19" s="31" t="str">
        <f t="shared" si="0"/>
        <v>Deduct decrease in Equipment</v>
      </c>
      <c r="I19" s="31" t="str">
        <f t="shared" si="0"/>
        <v>Add  Equipment</v>
      </c>
      <c r="J19" s="31" t="str">
        <f t="shared" si="0"/>
        <v>Deduct Equipment</v>
      </c>
      <c r="K19" s="31"/>
      <c r="L19" s="31"/>
      <c r="R19" s="31" t="s">
        <v>54</v>
      </c>
    </row>
    <row r="20" spans="2:18" x14ac:dyDescent="0.25">
      <c r="B20" s="31" t="s">
        <v>14</v>
      </c>
      <c r="E20" s="31" t="str">
        <f t="shared" si="1"/>
        <v>Add increase in  Income Taxes Expense</v>
      </c>
      <c r="F20" s="31" t="str">
        <f t="shared" si="0"/>
        <v>Deduct increase in Income Taxes Expense</v>
      </c>
      <c r="G20" s="31" t="str">
        <f t="shared" si="0"/>
        <v>Add decrease in Income Taxes Expense</v>
      </c>
      <c r="H20" s="31" t="str">
        <f t="shared" si="0"/>
        <v>Deduct decrease in Income Taxes Expense</v>
      </c>
      <c r="I20" s="31" t="str">
        <f t="shared" si="0"/>
        <v>Add  Income Taxes Expense</v>
      </c>
      <c r="J20" s="31" t="str">
        <f t="shared" si="0"/>
        <v>Deduct Income Taxes Expense</v>
      </c>
      <c r="K20" s="31"/>
      <c r="L20" s="31"/>
      <c r="M20" s="10">
        <f t="shared" ref="M20:M29" ca="1" si="2">RAND()</f>
        <v>0.49338175342841095</v>
      </c>
      <c r="N20" s="131" t="s">
        <v>28</v>
      </c>
      <c r="O20" s="132">
        <v>158000</v>
      </c>
      <c r="R20" s="31" t="str">
        <f>$N$14</f>
        <v>For the year ended December 31, 2026</v>
      </c>
    </row>
    <row r="21" spans="2:18" x14ac:dyDescent="0.25">
      <c r="B21" s="31" t="s">
        <v>124</v>
      </c>
      <c r="E21" s="31" t="str">
        <f t="shared" si="1"/>
        <v>Add increase in  Long-term Note Payable</v>
      </c>
      <c r="F21" s="31" t="str">
        <f t="shared" si="0"/>
        <v>Deduct increase in Long-term Note Payable</v>
      </c>
      <c r="G21" s="31" t="str">
        <f t="shared" si="0"/>
        <v>Add decrease in Long-term Note Payable</v>
      </c>
      <c r="H21" s="31" t="str">
        <f t="shared" si="0"/>
        <v>Deduct decrease in Long-term Note Payable</v>
      </c>
      <c r="I21" s="31" t="str">
        <f t="shared" si="0"/>
        <v>Add  Long-term Note Payable</v>
      </c>
      <c r="J21" s="31" t="str">
        <f t="shared" si="0"/>
        <v>Deduct Long-term Note Payable</v>
      </c>
      <c r="K21" s="31"/>
      <c r="L21" s="31"/>
      <c r="M21" s="10">
        <f t="shared" ca="1" si="2"/>
        <v>0.40409632612308566</v>
      </c>
      <c r="N21" s="131" t="s">
        <v>198</v>
      </c>
      <c r="O21" s="132">
        <v>5000</v>
      </c>
      <c r="R21" s="31" t="str">
        <f>+$B$1</f>
        <v>Fox Corporation</v>
      </c>
    </row>
    <row r="22" spans="2:18" x14ac:dyDescent="0.25">
      <c r="B22" s="31" t="s">
        <v>203</v>
      </c>
      <c r="E22" s="31" t="str">
        <f t="shared" si="1"/>
        <v>Add increase in  Loss on sale of Equipment</v>
      </c>
      <c r="F22" s="31" t="str">
        <f t="shared" si="0"/>
        <v>Deduct increase in Loss on sale of Equipment</v>
      </c>
      <c r="G22" s="31" t="str">
        <f t="shared" si="0"/>
        <v>Add decrease in Loss on sale of Equipment</v>
      </c>
      <c r="H22" s="31" t="str">
        <f t="shared" si="0"/>
        <v>Deduct decrease in Loss on sale of Equipment</v>
      </c>
      <c r="I22" s="31" t="str">
        <f t="shared" si="0"/>
        <v>Add  Loss on sale of Equipment</v>
      </c>
      <c r="J22" s="31" t="str">
        <f t="shared" si="0"/>
        <v>Deduct Loss on sale of Equipment</v>
      </c>
      <c r="K22" s="31"/>
      <c r="L22" s="31"/>
      <c r="M22" s="10">
        <f t="shared" ca="1" si="2"/>
        <v>0.72336230597412543</v>
      </c>
      <c r="N22" s="131" t="s">
        <v>197</v>
      </c>
      <c r="O22" s="132">
        <v>156000</v>
      </c>
      <c r="R22" s="31" t="s">
        <v>5</v>
      </c>
    </row>
    <row r="23" spans="2:18" x14ac:dyDescent="0.25">
      <c r="B23" s="31" t="s">
        <v>123</v>
      </c>
      <c r="E23" s="31" t="str">
        <f t="shared" si="1"/>
        <v>Add increase in  Merchandise Inventory</v>
      </c>
      <c r="F23" s="31" t="str">
        <f t="shared" si="0"/>
        <v>Deduct increase in Merchandise Inventory</v>
      </c>
      <c r="G23" s="31" t="str">
        <f t="shared" si="0"/>
        <v>Add decrease in Merchandise Inventory</v>
      </c>
      <c r="H23" s="31" t="str">
        <f t="shared" si="0"/>
        <v>Deduct decrease in Merchandise Inventory</v>
      </c>
      <c r="I23" s="31" t="str">
        <f t="shared" si="0"/>
        <v>Add  Merchandise Inventory</v>
      </c>
      <c r="J23" s="31" t="str">
        <f t="shared" si="0"/>
        <v>Deduct Merchandise Inventory</v>
      </c>
      <c r="K23" s="31"/>
      <c r="L23" s="31"/>
      <c r="M23" s="10">
        <f t="shared" ca="1" si="2"/>
        <v>0.86963521120624054</v>
      </c>
      <c r="N23" s="131" t="s">
        <v>26</v>
      </c>
      <c r="O23" s="132">
        <v>50000</v>
      </c>
      <c r="R23" s="31" t="s">
        <v>13</v>
      </c>
    </row>
    <row r="24" spans="2:18" x14ac:dyDescent="0.25">
      <c r="B24" s="31" t="s">
        <v>9</v>
      </c>
      <c r="E24" s="31" t="str">
        <f t="shared" si="1"/>
        <v>Add increase in  Other Operating Expenses</v>
      </c>
      <c r="F24" s="31" t="str">
        <f t="shared" si="0"/>
        <v>Deduct increase in Other Operating Expenses</v>
      </c>
      <c r="G24" s="31" t="str">
        <f t="shared" si="0"/>
        <v>Add decrease in Other Operating Expenses</v>
      </c>
      <c r="H24" s="31" t="str">
        <f t="shared" si="0"/>
        <v>Deduct decrease in Other Operating Expenses</v>
      </c>
      <c r="I24" s="31" t="str">
        <f t="shared" si="0"/>
        <v>Add  Other Operating Expenses</v>
      </c>
      <c r="J24" s="31" t="str">
        <f t="shared" si="0"/>
        <v>Deduct Other Operating Expenses</v>
      </c>
      <c r="K24" s="31"/>
      <c r="L24" s="31"/>
      <c r="M24" s="10">
        <f t="shared" ca="1" si="2"/>
        <v>0.50588377194198852</v>
      </c>
      <c r="N24" s="131" t="s">
        <v>200</v>
      </c>
      <c r="O24" s="132">
        <v>77000</v>
      </c>
      <c r="R24" s="31" t="s">
        <v>10</v>
      </c>
    </row>
    <row r="25" spans="2:18" x14ac:dyDescent="0.25">
      <c r="B25" s="31" t="s">
        <v>24</v>
      </c>
      <c r="E25" s="31" t="str">
        <f t="shared" si="1"/>
        <v>Add increase in  Retained Earnings</v>
      </c>
      <c r="F25" s="31" t="str">
        <f t="shared" si="0"/>
        <v>Deduct increase in Retained Earnings</v>
      </c>
      <c r="G25" s="31" t="str">
        <f t="shared" si="0"/>
        <v>Add decrease in Retained Earnings</v>
      </c>
      <c r="H25" s="31" t="str">
        <f t="shared" si="0"/>
        <v>Deduct decrease in Retained Earnings</v>
      </c>
      <c r="I25" s="31" t="str">
        <f t="shared" si="0"/>
        <v>Add  Retained Earnings</v>
      </c>
      <c r="J25" s="31" t="str">
        <f t="shared" si="0"/>
        <v>Deduct Retained Earnings</v>
      </c>
      <c r="K25" s="31"/>
      <c r="L25" s="31"/>
      <c r="M25" s="10">
        <f t="shared" ca="1" si="2"/>
        <v>0.10329264861731402</v>
      </c>
      <c r="N25" s="131" t="s">
        <v>201</v>
      </c>
      <c r="O25" s="132">
        <v>82000</v>
      </c>
      <c r="R25" s="31" t="s">
        <v>1</v>
      </c>
    </row>
    <row r="26" spans="2:18" x14ac:dyDescent="0.25">
      <c r="B26" s="31" t="s">
        <v>2</v>
      </c>
      <c r="E26" s="31" t="str">
        <f t="shared" si="1"/>
        <v>Add increase in  Sales</v>
      </c>
      <c r="F26" s="31" t="str">
        <f t="shared" si="0"/>
        <v>Deduct increase in Sales</v>
      </c>
      <c r="G26" s="31" t="str">
        <f t="shared" si="0"/>
        <v>Add decrease in Sales</v>
      </c>
      <c r="H26" s="31" t="str">
        <f t="shared" si="0"/>
        <v>Deduct decrease in Sales</v>
      </c>
      <c r="I26" s="31" t="str">
        <f t="shared" si="0"/>
        <v>Add  Sales</v>
      </c>
      <c r="J26" s="31" t="str">
        <f t="shared" si="0"/>
        <v>Deduct Sales</v>
      </c>
      <c r="K26" s="31"/>
      <c r="L26" s="31"/>
      <c r="M26" s="10">
        <f t="shared" ca="1" si="2"/>
        <v>0.8603216269547872</v>
      </c>
      <c r="N26" s="131" t="s">
        <v>21</v>
      </c>
      <c r="O26" s="132">
        <v>386000</v>
      </c>
      <c r="R26" s="31" t="s">
        <v>15</v>
      </c>
    </row>
    <row r="27" spans="2:18" x14ac:dyDescent="0.25">
      <c r="B27" s="31" t="s">
        <v>204</v>
      </c>
      <c r="E27" s="31" t="str">
        <f t="shared" si="1"/>
        <v>Add increase in  Short-Term Note Payable</v>
      </c>
      <c r="F27" s="31" t="str">
        <f t="shared" si="0"/>
        <v>Deduct increase in Short-Term Note Payable</v>
      </c>
      <c r="G27" s="31" t="str">
        <f t="shared" si="0"/>
        <v>Add decrease in Short-Term Note Payable</v>
      </c>
      <c r="H27" s="31" t="str">
        <f t="shared" si="0"/>
        <v>Deduct decrease in Short-Term Note Payable</v>
      </c>
      <c r="I27" s="31" t="str">
        <f t="shared" si="0"/>
        <v>Add  Short-Term Note Payable</v>
      </c>
      <c r="J27" s="31" t="str">
        <f t="shared" si="0"/>
        <v>Deduct Short-Term Note Payable</v>
      </c>
      <c r="K27" s="31"/>
      <c r="L27" s="31"/>
      <c r="M27" s="10">
        <f t="shared" ca="1" si="2"/>
        <v>0.12688797570226074</v>
      </c>
      <c r="N27" s="131" t="s">
        <v>31</v>
      </c>
      <c r="O27" s="132">
        <v>565600</v>
      </c>
      <c r="R27" s="31" t="s">
        <v>42</v>
      </c>
    </row>
    <row r="28" spans="2:18" x14ac:dyDescent="0.25">
      <c r="B28" s="31" t="s">
        <v>205</v>
      </c>
      <c r="E28" s="31" t="str">
        <f t="shared" si="1"/>
        <v>Add increase in  Wages Payable</v>
      </c>
      <c r="F28" s="31" t="str">
        <f t="shared" si="1"/>
        <v>Deduct increase in Wages Payable</v>
      </c>
      <c r="G28" s="31" t="str">
        <f t="shared" si="1"/>
        <v>Add decrease in Wages Payable</v>
      </c>
      <c r="H28" s="31" t="str">
        <f t="shared" si="1"/>
        <v>Deduct decrease in Wages Payable</v>
      </c>
      <c r="I28" s="31" t="str">
        <f t="shared" si="1"/>
        <v>Add  Wages Payable</v>
      </c>
      <c r="J28" s="31" t="str">
        <f t="shared" si="1"/>
        <v>Deduct Wages Payable</v>
      </c>
      <c r="K28" s="31"/>
      <c r="L28" s="31"/>
      <c r="M28" s="10">
        <f t="shared" ca="1" si="2"/>
        <v>0.56521815032191147</v>
      </c>
      <c r="N28" s="131" t="s">
        <v>199</v>
      </c>
      <c r="O28" s="132">
        <v>38000</v>
      </c>
      <c r="R28" s="31" t="s">
        <v>40</v>
      </c>
    </row>
    <row r="29" spans="2:18" x14ac:dyDescent="0.25">
      <c r="E29" s="31" t="str">
        <f t="shared" si="1"/>
        <v xml:space="preserve">Add increase in  </v>
      </c>
      <c r="F29" s="31" t="str">
        <f t="shared" si="1"/>
        <v xml:space="preserve">Deduct increase in </v>
      </c>
      <c r="G29" s="31" t="str">
        <f t="shared" si="1"/>
        <v xml:space="preserve">Add decrease in </v>
      </c>
      <c r="H29" s="31" t="str">
        <f t="shared" si="1"/>
        <v xml:space="preserve">Deduct decrease in </v>
      </c>
      <c r="I29" s="31" t="str">
        <f t="shared" si="1"/>
        <v xml:space="preserve">Add  </v>
      </c>
      <c r="J29" s="31" t="str">
        <f t="shared" si="1"/>
        <v xml:space="preserve">Deduct </v>
      </c>
      <c r="K29" s="31"/>
      <c r="L29" s="31"/>
      <c r="M29" s="10">
        <f t="shared" ca="1" si="2"/>
        <v>3.6960987992689542E-2</v>
      </c>
      <c r="N29" s="131" t="s">
        <v>23</v>
      </c>
      <c r="O29" s="132">
        <v>1600</v>
      </c>
      <c r="R29" s="31" t="s">
        <v>38</v>
      </c>
    </row>
    <row r="30" spans="2:18" x14ac:dyDescent="0.25">
      <c r="M30" s="10">
        <f t="shared" ref="M30:M31" ca="1" si="3">RAND()</f>
        <v>0.73541739888258417</v>
      </c>
      <c r="N30" s="131"/>
      <c r="O30" s="131"/>
      <c r="R30" s="31" t="s">
        <v>16</v>
      </c>
    </row>
    <row r="31" spans="2:18" x14ac:dyDescent="0.25">
      <c r="M31" s="10">
        <f t="shared" ca="1" si="3"/>
        <v>0.86460546577807029</v>
      </c>
      <c r="N31" s="133"/>
      <c r="O31" s="134"/>
      <c r="R31" s="31" t="s">
        <v>43</v>
      </c>
    </row>
    <row r="32" spans="2:18" x14ac:dyDescent="0.25">
      <c r="E32" s="31" t="str">
        <f>+E12</f>
        <v>Add increase in  Accounts Payable</v>
      </c>
      <c r="F32" s="31"/>
      <c r="H32" s="31" t="s">
        <v>206</v>
      </c>
      <c r="I32" s="31"/>
      <c r="R32" s="31" t="s">
        <v>52</v>
      </c>
    </row>
    <row r="33" spans="5:18" x14ac:dyDescent="0.25">
      <c r="E33" s="31" t="str">
        <f t="shared" ref="E33:E48" si="4">+E13</f>
        <v>Add increase in  Accounts Receivable</v>
      </c>
      <c r="F33" s="31"/>
      <c r="H33" s="31" t="s">
        <v>207</v>
      </c>
      <c r="I33" s="31"/>
      <c r="R33" s="31" t="s">
        <v>11</v>
      </c>
    </row>
    <row r="34" spans="5:18" x14ac:dyDescent="0.25">
      <c r="E34" s="31" t="str">
        <f t="shared" si="4"/>
        <v>Add increase in  Accum. Depr.</v>
      </c>
      <c r="F34" s="31"/>
      <c r="H34" s="31" t="s">
        <v>90</v>
      </c>
      <c r="I34" s="31"/>
      <c r="R34" s="31" t="s">
        <v>51</v>
      </c>
    </row>
    <row r="35" spans="5:18" x14ac:dyDescent="0.25">
      <c r="E35" s="31" t="str">
        <f t="shared" si="4"/>
        <v>Add increase in  Cash</v>
      </c>
      <c r="F35" s="31"/>
      <c r="H35" s="31" t="s">
        <v>91</v>
      </c>
      <c r="I35" s="31"/>
      <c r="R35" s="31" t="s">
        <v>2</v>
      </c>
    </row>
    <row r="36" spans="5:18" x14ac:dyDescent="0.25">
      <c r="E36" s="31" t="str">
        <f t="shared" si="4"/>
        <v>Add increase in  Common Stock</v>
      </c>
      <c r="F36" s="31"/>
      <c r="H36" s="31" t="s">
        <v>92</v>
      </c>
      <c r="I36" s="31"/>
      <c r="R36" s="31" t="s">
        <v>36</v>
      </c>
    </row>
    <row r="37" spans="5:18" x14ac:dyDescent="0.25">
      <c r="E37" s="31" t="str">
        <f t="shared" si="4"/>
        <v>Add increase in  Cost of Goods Sold</v>
      </c>
      <c r="F37" s="31"/>
      <c r="H37" s="31" t="s">
        <v>208</v>
      </c>
      <c r="I37" s="31"/>
      <c r="R37" s="31" t="s">
        <v>46</v>
      </c>
    </row>
    <row r="38" spans="5:18" x14ac:dyDescent="0.25">
      <c r="E38" s="31" t="str">
        <f t="shared" si="4"/>
        <v>Add increase in  Depreciation Expense</v>
      </c>
      <c r="F38" s="31"/>
      <c r="H38" s="31" t="s">
        <v>93</v>
      </c>
      <c r="I38" s="31"/>
      <c r="R38" s="31" t="s">
        <v>47</v>
      </c>
    </row>
    <row r="39" spans="5:18" x14ac:dyDescent="0.25">
      <c r="E39" s="31" t="str">
        <f t="shared" si="4"/>
        <v>Add increase in  Equipment</v>
      </c>
      <c r="F39" s="31"/>
      <c r="H39" s="31" t="s">
        <v>94</v>
      </c>
      <c r="I39" s="31"/>
      <c r="R39" s="31" t="s">
        <v>48</v>
      </c>
    </row>
    <row r="40" spans="5:18" x14ac:dyDescent="0.25">
      <c r="E40" s="31" t="str">
        <f t="shared" si="4"/>
        <v>Add increase in  Income Taxes Expense</v>
      </c>
      <c r="F40" s="31"/>
      <c r="H40" s="31" t="s">
        <v>73</v>
      </c>
      <c r="I40" s="31"/>
      <c r="R40" s="31" t="s">
        <v>49</v>
      </c>
    </row>
    <row r="41" spans="5:18" x14ac:dyDescent="0.25">
      <c r="E41" s="31" t="str">
        <f t="shared" si="4"/>
        <v>Add increase in  Long-term Note Payable</v>
      </c>
      <c r="F41" s="31"/>
      <c r="H41" s="31" t="s">
        <v>44</v>
      </c>
      <c r="I41" s="31"/>
      <c r="R41" s="31"/>
    </row>
    <row r="42" spans="5:18" x14ac:dyDescent="0.25">
      <c r="E42" s="31" t="str">
        <f t="shared" si="4"/>
        <v>Add increase in  Loss on sale of Equipment</v>
      </c>
      <c r="F42" s="31"/>
      <c r="H42" s="31" t="s">
        <v>74</v>
      </c>
      <c r="I42" s="31"/>
    </row>
    <row r="43" spans="5:18" x14ac:dyDescent="0.25">
      <c r="E43" s="31" t="str">
        <f t="shared" si="4"/>
        <v>Add increase in  Merchandise Inventory</v>
      </c>
      <c r="F43" s="31"/>
      <c r="H43" s="31" t="s">
        <v>75</v>
      </c>
      <c r="I43" s="31"/>
    </row>
    <row r="44" spans="5:18" x14ac:dyDescent="0.25">
      <c r="E44" s="31" t="str">
        <f t="shared" si="4"/>
        <v>Add increase in  Other Operating Expenses</v>
      </c>
      <c r="F44" s="31"/>
      <c r="H44" s="31" t="s">
        <v>137</v>
      </c>
      <c r="I44" s="31"/>
    </row>
    <row r="45" spans="5:18" x14ac:dyDescent="0.25">
      <c r="E45" s="31" t="str">
        <f t="shared" si="4"/>
        <v>Add increase in  Retained Earnings</v>
      </c>
      <c r="F45" s="31"/>
      <c r="H45" s="31" t="s">
        <v>76</v>
      </c>
      <c r="I45" s="31"/>
    </row>
    <row r="46" spans="5:18" x14ac:dyDescent="0.25">
      <c r="E46" s="31" t="str">
        <f t="shared" si="4"/>
        <v>Add increase in  Sales</v>
      </c>
      <c r="F46" s="31"/>
      <c r="H46" s="31" t="s">
        <v>77</v>
      </c>
      <c r="I46" s="31"/>
    </row>
    <row r="47" spans="5:18" x14ac:dyDescent="0.25">
      <c r="E47" s="31" t="str">
        <f t="shared" si="4"/>
        <v>Add increase in  Short-Term Note Payable</v>
      </c>
      <c r="F47" s="31"/>
      <c r="H47" s="31" t="s">
        <v>209</v>
      </c>
      <c r="I47" s="31"/>
    </row>
    <row r="48" spans="5:18" x14ac:dyDescent="0.25">
      <c r="E48" s="31" t="str">
        <f t="shared" si="4"/>
        <v>Add increase in  Wages Payable</v>
      </c>
      <c r="F48" s="31"/>
      <c r="H48" s="31" t="s">
        <v>78</v>
      </c>
      <c r="I48" s="31"/>
    </row>
    <row r="49" spans="5:9" x14ac:dyDescent="0.25">
      <c r="E49" s="31" t="str">
        <f>+F12</f>
        <v>Deduct increase in Accounts Payable</v>
      </c>
      <c r="F49" s="31"/>
      <c r="H49" s="31" t="s">
        <v>138</v>
      </c>
      <c r="I49" s="31"/>
    </row>
    <row r="50" spans="5:9" x14ac:dyDescent="0.25">
      <c r="E50" s="31" t="str">
        <f t="shared" ref="E50:E65" si="5">+F13</f>
        <v>Deduct increase in Accounts Receivable</v>
      </c>
      <c r="F50" s="31"/>
      <c r="H50" s="31" t="s">
        <v>210</v>
      </c>
      <c r="I50" s="31"/>
    </row>
    <row r="51" spans="5:9" x14ac:dyDescent="0.25">
      <c r="E51" s="31" t="str">
        <f t="shared" si="5"/>
        <v>Deduct increase in Accum. Depr.</v>
      </c>
      <c r="F51" s="31"/>
      <c r="H51" s="31" t="s">
        <v>139</v>
      </c>
      <c r="I51" s="31"/>
    </row>
    <row r="52" spans="5:9" x14ac:dyDescent="0.25">
      <c r="E52" s="31" t="str">
        <f t="shared" si="5"/>
        <v>Deduct increase in Cash</v>
      </c>
      <c r="F52" s="31"/>
      <c r="H52" s="31" t="s">
        <v>79</v>
      </c>
      <c r="I52" s="31"/>
    </row>
    <row r="53" spans="5:9" x14ac:dyDescent="0.25">
      <c r="E53" s="31" t="str">
        <f t="shared" si="5"/>
        <v>Deduct increase in Common Stock</v>
      </c>
      <c r="F53" s="31"/>
      <c r="H53" s="31" t="s">
        <v>140</v>
      </c>
      <c r="I53" s="31"/>
    </row>
    <row r="54" spans="5:9" x14ac:dyDescent="0.25">
      <c r="E54" s="31" t="str">
        <f t="shared" si="5"/>
        <v>Deduct increase in Cost of Goods Sold</v>
      </c>
      <c r="F54" s="31"/>
      <c r="H54" s="31" t="s">
        <v>80</v>
      </c>
      <c r="I54" s="31"/>
    </row>
    <row r="55" spans="5:9" x14ac:dyDescent="0.25">
      <c r="E55" s="31" t="str">
        <f t="shared" si="5"/>
        <v>Deduct increase in Depreciation Expense</v>
      </c>
      <c r="F55" s="31"/>
      <c r="H55" s="31" t="s">
        <v>211</v>
      </c>
      <c r="I55" s="31"/>
    </row>
    <row r="56" spans="5:9" x14ac:dyDescent="0.25">
      <c r="E56" s="31" t="str">
        <f t="shared" si="5"/>
        <v>Deduct increase in Equipment</v>
      </c>
      <c r="F56" s="31"/>
      <c r="H56" s="31" t="s">
        <v>212</v>
      </c>
      <c r="I56" s="31"/>
    </row>
    <row r="57" spans="5:9" x14ac:dyDescent="0.25">
      <c r="E57" s="31" t="str">
        <f t="shared" si="5"/>
        <v>Deduct increase in Income Taxes Expense</v>
      </c>
      <c r="F57" s="31"/>
      <c r="H57" s="31" t="s">
        <v>65</v>
      </c>
      <c r="I57" s="31"/>
    </row>
    <row r="58" spans="5:9" x14ac:dyDescent="0.25">
      <c r="E58" s="31" t="str">
        <f t="shared" si="5"/>
        <v>Deduct increase in Long-term Note Payable</v>
      </c>
      <c r="F58" s="31"/>
      <c r="H58" s="31" t="s">
        <v>66</v>
      </c>
      <c r="I58" s="31"/>
    </row>
    <row r="59" spans="5:9" x14ac:dyDescent="0.25">
      <c r="E59" s="31" t="str">
        <f t="shared" si="5"/>
        <v>Deduct increase in Loss on sale of Equipment</v>
      </c>
      <c r="F59" s="31"/>
      <c r="H59" s="31" t="s">
        <v>67</v>
      </c>
      <c r="I59" s="31"/>
    </row>
    <row r="60" spans="5:9" x14ac:dyDescent="0.25">
      <c r="E60" s="31" t="str">
        <f t="shared" si="5"/>
        <v>Deduct increase in Merchandise Inventory</v>
      </c>
      <c r="F60" s="31"/>
      <c r="H60" s="31" t="s">
        <v>68</v>
      </c>
      <c r="I60" s="31"/>
    </row>
    <row r="61" spans="5:9" x14ac:dyDescent="0.25">
      <c r="E61" s="31" t="str">
        <f t="shared" si="5"/>
        <v>Deduct increase in Other Operating Expenses</v>
      </c>
      <c r="F61" s="31"/>
      <c r="H61" s="31" t="s">
        <v>129</v>
      </c>
      <c r="I61" s="31"/>
    </row>
    <row r="62" spans="5:9" x14ac:dyDescent="0.25">
      <c r="E62" s="31" t="str">
        <f t="shared" si="5"/>
        <v>Deduct increase in Retained Earnings</v>
      </c>
      <c r="F62" s="31"/>
      <c r="H62" s="31" t="s">
        <v>213</v>
      </c>
      <c r="I62" s="31"/>
    </row>
    <row r="63" spans="5:9" x14ac:dyDescent="0.25">
      <c r="E63" s="31" t="str">
        <f t="shared" si="5"/>
        <v>Deduct increase in Sales</v>
      </c>
      <c r="F63" s="31"/>
      <c r="H63" s="31" t="s">
        <v>214</v>
      </c>
      <c r="I63" s="31"/>
    </row>
    <row r="64" spans="5:9" x14ac:dyDescent="0.25">
      <c r="E64" s="31" t="str">
        <f t="shared" si="5"/>
        <v>Deduct increase in Short-Term Note Payable</v>
      </c>
      <c r="F64" s="31"/>
      <c r="H64" s="31" t="s">
        <v>215</v>
      </c>
      <c r="I64" s="31"/>
    </row>
    <row r="65" spans="5:9" x14ac:dyDescent="0.25">
      <c r="E65" s="31" t="str">
        <f t="shared" si="5"/>
        <v>Deduct increase in Wages Payable</v>
      </c>
      <c r="F65" s="31"/>
      <c r="H65" s="31" t="s">
        <v>216</v>
      </c>
      <c r="I65" s="31"/>
    </row>
    <row r="66" spans="5:9" x14ac:dyDescent="0.25">
      <c r="E66" s="31" t="str">
        <f>+G12</f>
        <v>Add decrease in Accounts Payable</v>
      </c>
      <c r="F66" s="31"/>
      <c r="H66" s="31" t="s">
        <v>130</v>
      </c>
      <c r="I66" s="31"/>
    </row>
    <row r="67" spans="5:9" x14ac:dyDescent="0.25">
      <c r="E67" s="31" t="str">
        <f t="shared" ref="E67:E82" si="6">+G13</f>
        <v>Add decrease in Accounts Receivable</v>
      </c>
      <c r="F67" s="31"/>
      <c r="H67" s="31" t="s">
        <v>217</v>
      </c>
      <c r="I67" s="31"/>
    </row>
    <row r="68" spans="5:9" x14ac:dyDescent="0.25">
      <c r="E68" s="31" t="str">
        <f t="shared" si="6"/>
        <v>Add decrease in Accum. Depr.</v>
      </c>
      <c r="F68" s="31"/>
      <c r="H68" s="31" t="s">
        <v>131</v>
      </c>
      <c r="I68" s="31"/>
    </row>
    <row r="69" spans="5:9" x14ac:dyDescent="0.25">
      <c r="E69" s="31" t="str">
        <f t="shared" si="6"/>
        <v>Add decrease in Cash</v>
      </c>
      <c r="F69" s="31"/>
      <c r="H69" s="31" t="s">
        <v>218</v>
      </c>
      <c r="I69" s="31"/>
    </row>
    <row r="70" spans="5:9" x14ac:dyDescent="0.25">
      <c r="E70" s="31" t="str">
        <f t="shared" si="6"/>
        <v>Add decrease in Common Stock</v>
      </c>
      <c r="F70" s="31"/>
      <c r="H70" s="31" t="s">
        <v>132</v>
      </c>
      <c r="I70" s="31"/>
    </row>
    <row r="71" spans="5:9" x14ac:dyDescent="0.25">
      <c r="E71" s="31" t="str">
        <f t="shared" si="6"/>
        <v>Add decrease in Cost of Goods Sold</v>
      </c>
      <c r="F71" s="31"/>
      <c r="H71" s="31" t="s">
        <v>219</v>
      </c>
      <c r="I71" s="31"/>
    </row>
    <row r="72" spans="5:9" x14ac:dyDescent="0.25">
      <c r="E72" s="31" t="str">
        <f t="shared" si="6"/>
        <v>Add decrease in Depreciation Expense</v>
      </c>
      <c r="F72" s="31"/>
      <c r="H72" s="31" t="s">
        <v>220</v>
      </c>
      <c r="I72" s="31"/>
    </row>
    <row r="73" spans="5:9" x14ac:dyDescent="0.25">
      <c r="E73" s="31" t="str">
        <f t="shared" si="6"/>
        <v>Add decrease in Equipment</v>
      </c>
      <c r="F73" s="31"/>
      <c r="H73" s="31" t="s">
        <v>221</v>
      </c>
      <c r="I73" s="31"/>
    </row>
    <row r="74" spans="5:9" x14ac:dyDescent="0.25">
      <c r="E74" s="31" t="str">
        <f t="shared" si="6"/>
        <v>Add decrease in Income Taxes Expense</v>
      </c>
      <c r="F74" s="31"/>
      <c r="H74" s="31" t="s">
        <v>95</v>
      </c>
      <c r="I74" s="31"/>
    </row>
    <row r="75" spans="5:9" x14ac:dyDescent="0.25">
      <c r="E75" s="31" t="str">
        <f t="shared" si="6"/>
        <v>Add decrease in Long-term Note Payable</v>
      </c>
      <c r="F75" s="31"/>
      <c r="H75" s="31" t="s">
        <v>81</v>
      </c>
      <c r="I75" s="31"/>
    </row>
    <row r="76" spans="5:9" x14ac:dyDescent="0.25">
      <c r="E76" s="31" t="str">
        <f t="shared" si="6"/>
        <v>Add decrease in Loss on sale of Equipment</v>
      </c>
      <c r="F76" s="31"/>
      <c r="H76" s="31" t="s">
        <v>82</v>
      </c>
      <c r="I76" s="31"/>
    </row>
    <row r="77" spans="5:9" x14ac:dyDescent="0.25">
      <c r="E77" s="31" t="str">
        <f t="shared" si="6"/>
        <v>Add decrease in Merchandise Inventory</v>
      </c>
      <c r="F77" s="31"/>
      <c r="H77" s="31" t="s">
        <v>83</v>
      </c>
      <c r="I77" s="31"/>
    </row>
    <row r="78" spans="5:9" x14ac:dyDescent="0.25">
      <c r="E78" s="31" t="str">
        <f t="shared" si="6"/>
        <v>Add decrease in Other Operating Expenses</v>
      </c>
      <c r="F78" s="31"/>
      <c r="H78" s="31" t="s">
        <v>84</v>
      </c>
      <c r="I78" s="31"/>
    </row>
    <row r="79" spans="5:9" x14ac:dyDescent="0.25">
      <c r="E79" s="31" t="str">
        <f t="shared" si="6"/>
        <v>Add decrease in Retained Earnings</v>
      </c>
      <c r="F79" s="31"/>
      <c r="H79" s="31" t="s">
        <v>141</v>
      </c>
      <c r="I79" s="31"/>
    </row>
    <row r="80" spans="5:9" x14ac:dyDescent="0.25">
      <c r="E80" s="31" t="str">
        <f t="shared" si="6"/>
        <v>Add decrease in Sales</v>
      </c>
      <c r="F80" s="31"/>
      <c r="H80" s="31" t="s">
        <v>85</v>
      </c>
      <c r="I80" s="31"/>
    </row>
    <row r="81" spans="5:9" x14ac:dyDescent="0.25">
      <c r="E81" s="31" t="str">
        <f t="shared" si="6"/>
        <v>Add decrease in Short-Term Note Payable</v>
      </c>
      <c r="F81" s="31"/>
      <c r="H81" s="31" t="s">
        <v>86</v>
      </c>
      <c r="I81" s="31"/>
    </row>
    <row r="82" spans="5:9" x14ac:dyDescent="0.25">
      <c r="E82" s="31" t="str">
        <f t="shared" si="6"/>
        <v>Add decrease in Wages Payable</v>
      </c>
      <c r="F82" s="31"/>
      <c r="H82" s="31" t="s">
        <v>222</v>
      </c>
      <c r="I82" s="31"/>
    </row>
    <row r="83" spans="5:9" x14ac:dyDescent="0.25">
      <c r="E83" s="31" t="str">
        <f>+H12</f>
        <v>Deduct decrease in Accounts Payable</v>
      </c>
      <c r="F83" s="31"/>
      <c r="H83" s="31" t="s">
        <v>87</v>
      </c>
      <c r="I83" s="31"/>
    </row>
    <row r="84" spans="5:9" x14ac:dyDescent="0.25">
      <c r="E84" s="31" t="str">
        <f t="shared" ref="E84:E99" si="7">+H13</f>
        <v>Deduct decrease in Accounts Receivable</v>
      </c>
      <c r="F84" s="31"/>
      <c r="H84" s="31" t="s">
        <v>142</v>
      </c>
      <c r="I84" s="31"/>
    </row>
    <row r="85" spans="5:9" x14ac:dyDescent="0.25">
      <c r="E85" s="31" t="str">
        <f t="shared" si="7"/>
        <v>Deduct decrease in Accum. Depr.</v>
      </c>
      <c r="F85" s="31"/>
      <c r="H85" s="31" t="s">
        <v>223</v>
      </c>
      <c r="I85" s="31"/>
    </row>
    <row r="86" spans="5:9" x14ac:dyDescent="0.25">
      <c r="E86" s="31" t="str">
        <f t="shared" si="7"/>
        <v>Deduct decrease in Cash</v>
      </c>
      <c r="F86" s="31"/>
      <c r="H86" s="31" t="s">
        <v>143</v>
      </c>
      <c r="I86" s="31"/>
    </row>
    <row r="87" spans="5:9" x14ac:dyDescent="0.25">
      <c r="E87" s="31" t="str">
        <f t="shared" si="7"/>
        <v>Deduct decrease in Common Stock</v>
      </c>
      <c r="F87" s="31"/>
      <c r="H87" s="31" t="s">
        <v>88</v>
      </c>
      <c r="I87" s="31"/>
    </row>
    <row r="88" spans="5:9" x14ac:dyDescent="0.25">
      <c r="E88" s="31" t="str">
        <f t="shared" si="7"/>
        <v>Deduct decrease in Cost of Goods Sold</v>
      </c>
      <c r="F88" s="31"/>
      <c r="H88" s="31" t="s">
        <v>144</v>
      </c>
      <c r="I88" s="31"/>
    </row>
    <row r="89" spans="5:9" x14ac:dyDescent="0.25">
      <c r="E89" s="31" t="str">
        <f t="shared" si="7"/>
        <v>Deduct decrease in Depreciation Expense</v>
      </c>
      <c r="F89" s="31"/>
      <c r="H89" s="31" t="s">
        <v>89</v>
      </c>
      <c r="I89" s="31"/>
    </row>
    <row r="90" spans="5:9" x14ac:dyDescent="0.25">
      <c r="E90" s="31" t="str">
        <f t="shared" si="7"/>
        <v>Deduct decrease in Equipment</v>
      </c>
      <c r="F90" s="31"/>
      <c r="H90" s="31" t="s">
        <v>224</v>
      </c>
      <c r="I90" s="31"/>
    </row>
    <row r="91" spans="5:9" x14ac:dyDescent="0.25">
      <c r="E91" s="31" t="str">
        <f t="shared" si="7"/>
        <v>Deduct decrease in Income Taxes Expense</v>
      </c>
      <c r="F91" s="31"/>
      <c r="H91" s="31" t="s">
        <v>225</v>
      </c>
      <c r="I91" s="31"/>
    </row>
    <row r="92" spans="5:9" x14ac:dyDescent="0.25">
      <c r="E92" s="31" t="str">
        <f t="shared" si="7"/>
        <v>Deduct decrease in Long-term Note Payable</v>
      </c>
      <c r="F92" s="31"/>
      <c r="H92" s="31" t="s">
        <v>96</v>
      </c>
      <c r="I92" s="31"/>
    </row>
    <row r="93" spans="5:9" x14ac:dyDescent="0.25">
      <c r="E93" s="31" t="str">
        <f t="shared" si="7"/>
        <v>Deduct decrease in Loss on sale of Equipment</v>
      </c>
      <c r="F93" s="31"/>
      <c r="H93" s="31" t="s">
        <v>97</v>
      </c>
      <c r="I93" s="31"/>
    </row>
    <row r="94" spans="5:9" x14ac:dyDescent="0.25">
      <c r="E94" s="31" t="str">
        <f t="shared" si="7"/>
        <v>Deduct decrease in Merchandise Inventory</v>
      </c>
      <c r="F94" s="31"/>
      <c r="H94" s="31" t="s">
        <v>69</v>
      </c>
      <c r="I94" s="31"/>
    </row>
    <row r="95" spans="5:9" x14ac:dyDescent="0.25">
      <c r="E95" s="31" t="str">
        <f t="shared" si="7"/>
        <v>Deduct decrease in Other Operating Expenses</v>
      </c>
      <c r="F95" s="31"/>
      <c r="H95" s="31" t="s">
        <v>70</v>
      </c>
      <c r="I95" s="31"/>
    </row>
    <row r="96" spans="5:9" x14ac:dyDescent="0.25">
      <c r="E96" s="31" t="str">
        <f t="shared" si="7"/>
        <v>Deduct decrease in Retained Earnings</v>
      </c>
      <c r="F96" s="31"/>
      <c r="H96" s="31" t="s">
        <v>71</v>
      </c>
      <c r="I96" s="31"/>
    </row>
    <row r="97" spans="5:9" x14ac:dyDescent="0.25">
      <c r="E97" s="31" t="str">
        <f t="shared" si="7"/>
        <v>Deduct decrease in Sales</v>
      </c>
      <c r="F97" s="31"/>
      <c r="H97" s="31" t="s">
        <v>72</v>
      </c>
      <c r="I97" s="31"/>
    </row>
    <row r="98" spans="5:9" x14ac:dyDescent="0.25">
      <c r="E98" s="31" t="str">
        <f t="shared" si="7"/>
        <v>Deduct decrease in Short-Term Note Payable</v>
      </c>
      <c r="F98" s="31"/>
      <c r="H98" s="31" t="s">
        <v>133</v>
      </c>
      <c r="I98" s="31"/>
    </row>
    <row r="99" spans="5:9" x14ac:dyDescent="0.25">
      <c r="E99" s="31" t="str">
        <f t="shared" si="7"/>
        <v>Deduct decrease in Wages Payable</v>
      </c>
      <c r="F99" s="31"/>
      <c r="H99" s="31" t="s">
        <v>226</v>
      </c>
      <c r="I99" s="31"/>
    </row>
    <row r="100" spans="5:9" x14ac:dyDescent="0.25">
      <c r="E100" s="31" t="str">
        <f>+I12</f>
        <v>Add  Accounts Payable</v>
      </c>
      <c r="F100" s="31"/>
      <c r="H100" s="31" t="s">
        <v>227</v>
      </c>
      <c r="I100" s="31"/>
    </row>
    <row r="101" spans="5:9" x14ac:dyDescent="0.25">
      <c r="E101" s="31" t="str">
        <f t="shared" ref="E101:E116" si="8">+I13</f>
        <v>Add  Accounts Receivable</v>
      </c>
      <c r="F101" s="31"/>
      <c r="H101" s="31" t="s">
        <v>228</v>
      </c>
      <c r="I101" s="31"/>
    </row>
    <row r="102" spans="5:9" x14ac:dyDescent="0.25">
      <c r="E102" s="31" t="str">
        <f t="shared" si="8"/>
        <v>Add  Accum. Depr.</v>
      </c>
      <c r="F102" s="31"/>
      <c r="H102" s="31" t="s">
        <v>229</v>
      </c>
      <c r="I102" s="31"/>
    </row>
    <row r="103" spans="5:9" x14ac:dyDescent="0.25">
      <c r="E103" s="31" t="str">
        <f t="shared" si="8"/>
        <v>Add  Cash</v>
      </c>
      <c r="F103" s="31"/>
      <c r="H103" s="31" t="s">
        <v>134</v>
      </c>
      <c r="I103" s="31"/>
    </row>
    <row r="104" spans="5:9" x14ac:dyDescent="0.25">
      <c r="E104" s="31" t="str">
        <f t="shared" si="8"/>
        <v>Add  Common Stock</v>
      </c>
      <c r="F104" s="31"/>
      <c r="H104" s="31" t="s">
        <v>230</v>
      </c>
      <c r="I104" s="31"/>
    </row>
    <row r="105" spans="5:9" x14ac:dyDescent="0.25">
      <c r="E105" s="31" t="str">
        <f t="shared" si="8"/>
        <v>Add  Cost of Goods Sold</v>
      </c>
      <c r="F105" s="31"/>
      <c r="H105" s="31" t="s">
        <v>135</v>
      </c>
      <c r="I105" s="31"/>
    </row>
    <row r="106" spans="5:9" x14ac:dyDescent="0.25">
      <c r="E106" s="31" t="str">
        <f t="shared" si="8"/>
        <v>Add  Depreciation Expense</v>
      </c>
      <c r="F106" s="31"/>
      <c r="H106" s="31" t="s">
        <v>231</v>
      </c>
      <c r="I106" s="31"/>
    </row>
    <row r="107" spans="5:9" x14ac:dyDescent="0.25">
      <c r="E107" s="31" t="str">
        <f t="shared" si="8"/>
        <v>Add  Equipment</v>
      </c>
      <c r="F107" s="31"/>
      <c r="H107" s="31" t="s">
        <v>136</v>
      </c>
      <c r="I107" s="31"/>
    </row>
    <row r="108" spans="5:9" x14ac:dyDescent="0.25">
      <c r="E108" s="31" t="str">
        <f t="shared" si="8"/>
        <v>Add  Income Taxes Expense</v>
      </c>
      <c r="F108" s="31"/>
      <c r="H108" s="31" t="s">
        <v>232</v>
      </c>
      <c r="I108" s="31"/>
    </row>
    <row r="109" spans="5:9" x14ac:dyDescent="0.25">
      <c r="E109" s="31" t="str">
        <f t="shared" si="8"/>
        <v>Add  Long-term Note Payable</v>
      </c>
      <c r="F109" s="31"/>
      <c r="H109" s="31" t="s">
        <v>233</v>
      </c>
      <c r="I109" s="31"/>
    </row>
    <row r="110" spans="5:9" x14ac:dyDescent="0.25">
      <c r="E110" s="31" t="str">
        <f t="shared" si="8"/>
        <v>Add  Loss on sale of Equipment</v>
      </c>
      <c r="F110" s="31"/>
      <c r="H110" s="31" t="s">
        <v>234</v>
      </c>
      <c r="I110" s="31"/>
    </row>
    <row r="111" spans="5:9" x14ac:dyDescent="0.25">
      <c r="E111" s="31" t="str">
        <f t="shared" si="8"/>
        <v>Add  Merchandise Inventory</v>
      </c>
      <c r="F111" s="31"/>
      <c r="H111" s="31" t="s">
        <v>235</v>
      </c>
      <c r="I111" s="31"/>
    </row>
    <row r="112" spans="5:9" x14ac:dyDescent="0.25">
      <c r="E112" s="31" t="str">
        <f t="shared" si="8"/>
        <v>Add  Other Operating Expenses</v>
      </c>
      <c r="F112" s="31"/>
      <c r="H112" s="31" t="s">
        <v>98</v>
      </c>
      <c r="I112" s="31"/>
    </row>
    <row r="113" spans="5:9" x14ac:dyDescent="0.25">
      <c r="E113" s="31" t="str">
        <f t="shared" si="8"/>
        <v>Add  Retained Earnings</v>
      </c>
      <c r="F113" s="31"/>
      <c r="H113" s="31" t="s">
        <v>99</v>
      </c>
      <c r="I113" s="31"/>
    </row>
    <row r="114" spans="5:9" x14ac:dyDescent="0.25">
      <c r="E114" s="31" t="str">
        <f t="shared" si="8"/>
        <v>Add  Sales</v>
      </c>
      <c r="F114" s="31"/>
    </row>
    <row r="115" spans="5:9" x14ac:dyDescent="0.25">
      <c r="E115" s="31" t="str">
        <f t="shared" si="8"/>
        <v>Add  Short-Term Note Payable</v>
      </c>
      <c r="F115" s="31"/>
    </row>
    <row r="116" spans="5:9" x14ac:dyDescent="0.25">
      <c r="E116" s="31" t="str">
        <f t="shared" si="8"/>
        <v>Add  Wages Payable</v>
      </c>
      <c r="F116" s="31"/>
    </row>
    <row r="117" spans="5:9" x14ac:dyDescent="0.25">
      <c r="E117" s="31" t="str">
        <f>+J12</f>
        <v>Deduct Accounts Payable</v>
      </c>
      <c r="F117" s="31"/>
    </row>
    <row r="118" spans="5:9" x14ac:dyDescent="0.25">
      <c r="E118" s="31" t="str">
        <f t="shared" ref="E118:E133" si="9">+J13</f>
        <v>Deduct Accounts Receivable</v>
      </c>
      <c r="F118" s="31"/>
    </row>
    <row r="119" spans="5:9" x14ac:dyDescent="0.25">
      <c r="E119" s="31" t="str">
        <f t="shared" si="9"/>
        <v>Deduct Accum. Depr.</v>
      </c>
      <c r="F119" s="31"/>
    </row>
    <row r="120" spans="5:9" x14ac:dyDescent="0.25">
      <c r="E120" s="31" t="str">
        <f t="shared" si="9"/>
        <v>Deduct Cash</v>
      </c>
      <c r="F120" s="31"/>
    </row>
    <row r="121" spans="5:9" x14ac:dyDescent="0.25">
      <c r="E121" s="31" t="str">
        <f t="shared" si="9"/>
        <v>Deduct Common Stock</v>
      </c>
      <c r="F121" s="31"/>
    </row>
    <row r="122" spans="5:9" x14ac:dyDescent="0.25">
      <c r="E122" s="31" t="str">
        <f t="shared" si="9"/>
        <v>Deduct Cost of Goods Sold</v>
      </c>
      <c r="F122" s="31"/>
    </row>
    <row r="123" spans="5:9" x14ac:dyDescent="0.25">
      <c r="E123" s="31" t="str">
        <f t="shared" si="9"/>
        <v>Deduct Depreciation Expense</v>
      </c>
      <c r="F123" s="31"/>
    </row>
    <row r="124" spans="5:9" x14ac:dyDescent="0.25">
      <c r="E124" s="31" t="str">
        <f t="shared" si="9"/>
        <v>Deduct Equipment</v>
      </c>
      <c r="F124" s="31"/>
    </row>
    <row r="125" spans="5:9" x14ac:dyDescent="0.25">
      <c r="E125" s="31" t="str">
        <f t="shared" si="9"/>
        <v>Deduct Income Taxes Expense</v>
      </c>
      <c r="F125" s="31"/>
    </row>
    <row r="126" spans="5:9" x14ac:dyDescent="0.25">
      <c r="E126" s="31" t="str">
        <f t="shared" si="9"/>
        <v>Deduct Long-term Note Payable</v>
      </c>
      <c r="F126" s="31"/>
    </row>
    <row r="127" spans="5:9" x14ac:dyDescent="0.25">
      <c r="E127" s="31" t="str">
        <f t="shared" si="9"/>
        <v>Deduct Loss on sale of Equipment</v>
      </c>
      <c r="F127" s="31"/>
    </row>
    <row r="128" spans="5:9" x14ac:dyDescent="0.25">
      <c r="E128" s="31" t="str">
        <f t="shared" si="9"/>
        <v>Deduct Merchandise Inventory</v>
      </c>
      <c r="F128" s="31"/>
    </row>
    <row r="129" spans="5:6" x14ac:dyDescent="0.25">
      <c r="E129" s="31" t="str">
        <f t="shared" si="9"/>
        <v>Deduct Other Operating Expenses</v>
      </c>
      <c r="F129" s="31"/>
    </row>
    <row r="130" spans="5:6" x14ac:dyDescent="0.25">
      <c r="E130" s="31" t="str">
        <f t="shared" si="9"/>
        <v>Deduct Retained Earnings</v>
      </c>
      <c r="F130" s="31"/>
    </row>
    <row r="131" spans="5:6" x14ac:dyDescent="0.25">
      <c r="E131" s="31" t="str">
        <f t="shared" si="9"/>
        <v>Deduct Sales</v>
      </c>
      <c r="F131" s="31"/>
    </row>
    <row r="132" spans="5:6" x14ac:dyDescent="0.25">
      <c r="E132" s="31" t="str">
        <f t="shared" si="9"/>
        <v>Deduct Short-Term Note Payable</v>
      </c>
      <c r="F132" s="31"/>
    </row>
    <row r="133" spans="5:6" x14ac:dyDescent="0.25">
      <c r="E133" s="31" t="str">
        <f t="shared" si="9"/>
        <v>Deduct Wages Payable</v>
      </c>
      <c r="F133" s="31"/>
    </row>
    <row r="134" spans="5:6" x14ac:dyDescent="0.25">
      <c r="E134" s="31"/>
      <c r="F134" s="31"/>
    </row>
    <row r="135" spans="5:6" x14ac:dyDescent="0.25">
      <c r="E135" s="31"/>
      <c r="F135" s="31"/>
    </row>
    <row r="136" spans="5:6" x14ac:dyDescent="0.25">
      <c r="E136" s="31"/>
      <c r="F136" s="31"/>
    </row>
    <row r="137" spans="5:6" x14ac:dyDescent="0.25">
      <c r="E137" s="31"/>
      <c r="F137" s="31"/>
    </row>
    <row r="138" spans="5:6" x14ac:dyDescent="0.25">
      <c r="E138" s="31"/>
      <c r="F138" s="31"/>
    </row>
    <row r="139" spans="5:6" x14ac:dyDescent="0.25">
      <c r="E139" s="31"/>
      <c r="F139" s="31"/>
    </row>
    <row r="140" spans="5:6" x14ac:dyDescent="0.25">
      <c r="E140" s="31"/>
      <c r="F140" s="31"/>
    </row>
    <row r="141" spans="5:6" x14ac:dyDescent="0.25">
      <c r="E141" s="31"/>
      <c r="F141" s="31"/>
    </row>
    <row r="142" spans="5:6" x14ac:dyDescent="0.25">
      <c r="E142" s="31"/>
      <c r="F142" s="31"/>
    </row>
    <row r="143" spans="5:6" x14ac:dyDescent="0.25">
      <c r="E143" s="31"/>
      <c r="F143" s="31"/>
    </row>
    <row r="144" spans="5:6" x14ac:dyDescent="0.25">
      <c r="E144" s="31"/>
      <c r="F144" s="31"/>
    </row>
    <row r="145" spans="5:6" x14ac:dyDescent="0.25">
      <c r="E145" s="31"/>
      <c r="F145" s="31"/>
    </row>
    <row r="146" spans="5:6" x14ac:dyDescent="0.25">
      <c r="E146" s="31"/>
      <c r="F146" s="31"/>
    </row>
    <row r="147" spans="5:6" x14ac:dyDescent="0.25">
      <c r="E147" s="31"/>
      <c r="F147" s="31"/>
    </row>
    <row r="148" spans="5:6" x14ac:dyDescent="0.25">
      <c r="E148" s="31"/>
      <c r="F148" s="31"/>
    </row>
    <row r="149" spans="5:6" x14ac:dyDescent="0.25">
      <c r="E149" s="31"/>
      <c r="F149" s="31"/>
    </row>
    <row r="150" spans="5:6" x14ac:dyDescent="0.25">
      <c r="E150" s="31"/>
      <c r="F150" s="31"/>
    </row>
    <row r="151" spans="5:6" x14ac:dyDescent="0.25">
      <c r="E151" s="31"/>
      <c r="F151" s="31"/>
    </row>
    <row r="152" spans="5:6" x14ac:dyDescent="0.25">
      <c r="E152" s="31"/>
      <c r="F152" s="31"/>
    </row>
    <row r="153" spans="5:6" x14ac:dyDescent="0.25">
      <c r="E153" s="31"/>
      <c r="F153" s="31"/>
    </row>
    <row r="154" spans="5:6" x14ac:dyDescent="0.25">
      <c r="E154" s="31"/>
      <c r="F154" s="31"/>
    </row>
    <row r="155" spans="5:6" x14ac:dyDescent="0.25">
      <c r="E155" s="31"/>
      <c r="F155" s="31"/>
    </row>
    <row r="156" spans="5:6" x14ac:dyDescent="0.25">
      <c r="E156" s="31"/>
      <c r="F156" s="31"/>
    </row>
    <row r="157" spans="5:6" x14ac:dyDescent="0.25">
      <c r="E157" s="31"/>
      <c r="F157" s="31"/>
    </row>
    <row r="158" spans="5:6" x14ac:dyDescent="0.25">
      <c r="E158" s="31"/>
      <c r="F158" s="31"/>
    </row>
    <row r="159" spans="5:6" x14ac:dyDescent="0.25">
      <c r="E159" s="31"/>
      <c r="F159" s="31"/>
    </row>
  </sheetData>
  <sheetProtection selectLockedCells="1"/>
  <sortState xmlns:xlrd2="http://schemas.microsoft.com/office/spreadsheetml/2017/richdata2" ref="R12:R40">
    <sortCondition ref="R12:R40"/>
  </sortState>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78</vt:i4>
      </vt:variant>
    </vt:vector>
  </HeadingPairs>
  <TitlesOfParts>
    <vt:vector size="84" baseType="lpstr">
      <vt:lpstr>Score Summary</vt:lpstr>
      <vt:lpstr>Stmt of Cash Flows</vt:lpstr>
      <vt:lpstr>Reconcilation worksheet</vt:lpstr>
      <vt:lpstr>Data</vt:lpstr>
      <vt:lpstr>Information</vt:lpstr>
      <vt:lpstr>lists</vt:lpstr>
      <vt:lpstr>Cost_of_Goods_Sold</vt:lpstr>
      <vt:lpstr>Data_Additional_Information</vt:lpstr>
      <vt:lpstr>Data_Balance_Sheets</vt:lpstr>
      <vt:lpstr>Data_Income_Statement</vt:lpstr>
      <vt:lpstr>Depreciation_Expense</vt:lpstr>
      <vt:lpstr>Gross_Margin</vt:lpstr>
      <vt:lpstr>Income_before_Income_Taxes</vt:lpstr>
      <vt:lpstr>Income_from_Operations</vt:lpstr>
      <vt:lpstr>Income_Taxes_Expense</vt:lpstr>
      <vt:lpstr>Loss_on_sale_of_Equipment</vt:lpstr>
      <vt:lpstr>N_A</vt:lpstr>
      <vt:lpstr>Net_Income</vt:lpstr>
      <vt:lpstr>Other_Income__Expenses</vt:lpstr>
      <vt:lpstr>Other_Operating_Expenses</vt:lpstr>
      <vt:lpstr>ReconWorksheet_Section_A</vt:lpstr>
      <vt:lpstr>ReconWorksheet_Section_B</vt:lpstr>
      <vt:lpstr>ReconWorksheet_Section_C</vt:lpstr>
      <vt:lpstr>ReconWorksheet_Section_D</vt:lpstr>
      <vt:lpstr>RowTitle_SCF..C109</vt:lpstr>
      <vt:lpstr>Sales</vt:lpstr>
      <vt:lpstr>SCF_heading</vt:lpstr>
      <vt:lpstr>SCF_section1</vt:lpstr>
      <vt:lpstr>SCF_Section1_Total_Amount</vt:lpstr>
      <vt:lpstr>SCF_Section1_Total_Line</vt:lpstr>
      <vt:lpstr>SCF_Section2</vt:lpstr>
      <vt:lpstr>SCF_Section2_Total_Amount</vt:lpstr>
      <vt:lpstr>SCF_Section2_Total_Line</vt:lpstr>
      <vt:lpstr>SCF_Section3</vt:lpstr>
      <vt:lpstr>SCF_Section3_Total_Amount</vt:lpstr>
      <vt:lpstr>SCF_Section3_Total_Line</vt:lpstr>
      <vt:lpstr>SCF_Section4</vt:lpstr>
      <vt:lpstr>SCF_Section4_Total_Amount</vt:lpstr>
      <vt:lpstr>SCF_Section4_Total_Line</vt:lpstr>
      <vt:lpstr>SCF_Section5</vt:lpstr>
      <vt:lpstr>SCF_Section6_Reconciliation</vt:lpstr>
      <vt:lpstr>SCF_Section6_Total_Amount</vt:lpstr>
      <vt:lpstr>SCF_Section6_Total_Line</vt:lpstr>
      <vt:lpstr>TitleRegion_Recon_Section_C..F44</vt:lpstr>
      <vt:lpstr>TitleRegion_Recon_Section_D..F53</vt:lpstr>
      <vt:lpstr>TitleRegion_Score_Summary..E12</vt:lpstr>
      <vt:lpstr>Year1_Accounts_Payable</vt:lpstr>
      <vt:lpstr>Year1_Accounts_Receivable</vt:lpstr>
      <vt:lpstr>Year1_Accum._Depr.</vt:lpstr>
      <vt:lpstr>Year1_Cash</vt:lpstr>
      <vt:lpstr>Year1_Common_Stock</vt:lpstr>
      <vt:lpstr>Year1_Equipment</vt:lpstr>
      <vt:lpstr>Year1_Long_term_Note_Payable</vt:lpstr>
      <vt:lpstr>Year1_Merchandise_Inventory</vt:lpstr>
      <vt:lpstr>Year1_Retained_Earnings</vt:lpstr>
      <vt:lpstr>Year1_Short_Term_Note_Payable</vt:lpstr>
      <vt:lpstr>Year1_space_holder1</vt:lpstr>
      <vt:lpstr>Year1_space_holder2</vt:lpstr>
      <vt:lpstr>Year1_Wages_Payable</vt:lpstr>
      <vt:lpstr>Year2_Accounts_Payable</vt:lpstr>
      <vt:lpstr>Year2_Accounts_Receivable</vt:lpstr>
      <vt:lpstr>Year2_Accum._Depr.</vt:lpstr>
      <vt:lpstr>Year2_Cash</vt:lpstr>
      <vt:lpstr>Year2_Common_Stock</vt:lpstr>
      <vt:lpstr>Year2_Equipment</vt:lpstr>
      <vt:lpstr>Year2_Long_term_Note_Payable</vt:lpstr>
      <vt:lpstr>Year2_Merchandise_Inventory</vt:lpstr>
      <vt:lpstr>Year2_Retained_Earnings</vt:lpstr>
      <vt:lpstr>Year2_Short_Term_Note_Payable</vt:lpstr>
      <vt:lpstr>Year2_space_holder1</vt:lpstr>
      <vt:lpstr>Year2_space_holder2</vt:lpstr>
      <vt:lpstr>Year2_Wages_Payable</vt:lpstr>
      <vt:lpstr>z_A._Cash_paid_for_other_operating_expenses</vt:lpstr>
      <vt:lpstr>z_B._Cash_received_from_borrowing_on_short_term_note_payable</vt:lpstr>
      <vt:lpstr>z_C._Acquired_equipment_by_signing_long_term_note_payable</vt:lpstr>
      <vt:lpstr>z_D._Cash_dividends_paid</vt:lpstr>
      <vt:lpstr>z_E._Cash_received_from_sale_of_Fox_Corp_s_common_stock</vt:lpstr>
      <vt:lpstr>z_F._Cash_paid_for_equipment</vt:lpstr>
      <vt:lpstr>z_G._Cash_paid_for_merchandise_inventory</vt:lpstr>
      <vt:lpstr>z_H._Cash_received_from_customers</vt:lpstr>
      <vt:lpstr>z_I._Cash_received_from_sale_of_equipment</vt:lpstr>
      <vt:lpstr>z_J._Cash_paid_for_income_taxes</vt:lpstr>
      <vt:lpstr>z_K._Space_holder5</vt:lpstr>
      <vt:lpstr>z_L._Space_holder6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2021-01-19T17:37:30Z</dcterms:created>
  <dcterms:modified xsi:type="dcterms:W3CDTF">2022-05-25T14:39:18Z</dcterms:modified>
</cp:coreProperties>
</file>